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07"/>
  <workbookPr filterPrivacy="1" hidePivotFieldList="1" defaultThemeVersion="124226"/>
  <xr:revisionPtr revIDLastSave="0" documentId="8_{737A42EB-14FB-4C59-A1AF-BA1E785D43B1}" xr6:coauthVersionLast="47" xr6:coauthVersionMax="47" xr10:uidLastSave="{00000000-0000-0000-0000-000000000000}"/>
  <bookViews>
    <workbookView xWindow="-108" yWindow="-108" windowWidth="23256" windowHeight="12576" tabRatio="859" firstSheet="2" activeTab="2" xr2:uid="{00000000-000D-0000-FFFF-FFFF00000000}"/>
  </bookViews>
  <sheets>
    <sheet name="Lietošanas instrukcija" sheetId="11" r:id="rId1"/>
    <sheet name="Pivot rīcības un objekti" sheetId="6" r:id="rId2"/>
    <sheet name="Prioritārās vietas" sheetId="7" r:id="rId3"/>
    <sheet name="Rīcibas_plans" sheetId="1" r:id="rId4"/>
    <sheet name="Veicamo darbu apraksts" sheetId="4" r:id="rId5"/>
    <sheet name="Vienību izmaksu aprēķins" sheetId="5" r:id="rId6"/>
  </sheets>
  <definedNames>
    <definedName name="_xlnm._FilterDatabase" localSheetId="1" hidden="1">'Pivot rīcības un objekti'!$J$3:$U$192</definedName>
    <definedName name="_xlnm._FilterDatabase" localSheetId="2" hidden="1">'Prioritārās vietas'!$A$11:$O$241</definedName>
    <definedName name="_xlnm._FilterDatabase" localSheetId="3" hidden="1">Rīcibas_plans!$A$3:$AC$234</definedName>
    <definedName name="_xlnm.Print_Titles" localSheetId="3">Rīcibas_plans!$4:$4</definedName>
    <definedName name="Slicer_Apdzīvota_vieta">#N/A</definedName>
  </definedNames>
  <calcPr calcId="191028"/>
  <pivotCaches>
    <pivotCache cacheId="2803" r:id="rId7"/>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8"/>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41" i="1" l="1"/>
  <c r="T161" i="1"/>
  <c r="T165" i="1"/>
  <c r="T179" i="1"/>
  <c r="T228" i="1"/>
  <c r="T20" i="1"/>
  <c r="T22" i="1"/>
  <c r="T26" i="1"/>
  <c r="T27" i="1"/>
  <c r="T31" i="1"/>
  <c r="T32" i="1"/>
  <c r="T38" i="1"/>
  <c r="T59" i="1"/>
  <c r="T61" i="1"/>
  <c r="T63" i="1"/>
  <c r="T66" i="1"/>
  <c r="T69" i="1"/>
  <c r="T70" i="1"/>
  <c r="T71" i="1"/>
  <c r="T72" i="1"/>
  <c r="T79" i="1"/>
  <c r="T82" i="1"/>
  <c r="T86" i="1"/>
  <c r="T87" i="1"/>
  <c r="T88" i="1"/>
  <c r="T90" i="1"/>
  <c r="T91" i="1"/>
  <c r="T93" i="1"/>
  <c r="T94" i="1"/>
  <c r="T108" i="1"/>
  <c r="T115" i="1"/>
  <c r="T116" i="1"/>
  <c r="T119" i="1"/>
  <c r="T120" i="1"/>
  <c r="T121" i="1"/>
  <c r="T133" i="1"/>
  <c r="T134" i="1"/>
  <c r="T135" i="1"/>
  <c r="T138" i="1"/>
  <c r="T142" i="1"/>
  <c r="T143" i="1"/>
  <c r="T144" i="1"/>
  <c r="T145" i="1"/>
  <c r="T146" i="1"/>
  <c r="T147" i="1"/>
  <c r="T149" i="1"/>
  <c r="T151" i="1"/>
  <c r="T152" i="1"/>
  <c r="T153" i="1"/>
  <c r="T157" i="1"/>
  <c r="T158" i="1"/>
  <c r="T159" i="1"/>
  <c r="T160" i="1"/>
  <c r="T164" i="1"/>
  <c r="T170" i="1"/>
  <c r="T173" i="1"/>
  <c r="T181" i="1"/>
  <c r="T182" i="1"/>
  <c r="T184" i="1"/>
  <c r="T185" i="1"/>
  <c r="T186" i="1"/>
  <c r="T191" i="1"/>
  <c r="T195" i="1"/>
  <c r="T196" i="1"/>
  <c r="T197" i="1"/>
  <c r="T198" i="1"/>
  <c r="T200" i="1"/>
  <c r="T204" i="1"/>
  <c r="T206" i="1"/>
  <c r="T207" i="1"/>
  <c r="T212" i="1"/>
  <c r="T213" i="1"/>
  <c r="T219" i="1"/>
  <c r="T220" i="1"/>
  <c r="T224" i="1"/>
  <c r="T230" i="1"/>
  <c r="T231" i="1"/>
  <c r="T232" i="1"/>
  <c r="T8" i="1"/>
  <c r="T5" i="1"/>
  <c r="L9" i="6"/>
  <c r="J7" i="6"/>
  <c r="K240" i="7"/>
  <c r="M240" i="7"/>
  <c r="L240" i="7"/>
  <c r="C239" i="7"/>
  <c r="D239" i="7"/>
  <c r="E239" i="7"/>
  <c r="F239" i="7"/>
  <c r="G239" i="7"/>
  <c r="H239" i="7"/>
  <c r="I239" i="7"/>
  <c r="J239" i="7"/>
  <c r="L239" i="7"/>
  <c r="M239" i="7"/>
  <c r="C240" i="7"/>
  <c r="D240" i="7"/>
  <c r="E240" i="7"/>
  <c r="F240" i="7"/>
  <c r="G240" i="7"/>
  <c r="H240" i="7"/>
  <c r="I240" i="7"/>
  <c r="J240" i="7"/>
  <c r="C8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D241" i="7" l="1"/>
  <c r="E241" i="7"/>
  <c r="F241" i="7"/>
  <c r="G241" i="7"/>
  <c r="H241" i="7"/>
  <c r="I241" i="7"/>
  <c r="J241" i="7"/>
  <c r="U4" i="6"/>
  <c r="U5" i="6"/>
  <c r="U6" i="6"/>
  <c r="U7" i="6"/>
  <c r="U8" i="6"/>
  <c r="U9" i="6"/>
  <c r="U10" i="6"/>
  <c r="U11" i="6"/>
  <c r="U12" i="6"/>
  <c r="U13" i="6"/>
  <c r="U14" i="6"/>
  <c r="U15" i="6"/>
  <c r="U16" i="6"/>
  <c r="U17" i="6"/>
  <c r="U18" i="6"/>
  <c r="U19" i="6"/>
  <c r="U20" i="6"/>
  <c r="U21" i="6"/>
  <c r="U22" i="6"/>
  <c r="U23" i="6"/>
  <c r="D130" i="7" s="1"/>
  <c r="U24" i="6"/>
  <c r="D151" i="7" s="1"/>
  <c r="U25" i="6"/>
  <c r="U26" i="6"/>
  <c r="D94" i="7" s="1"/>
  <c r="U27" i="6"/>
  <c r="D186" i="7" s="1"/>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D145" i="7" s="1"/>
  <c r="U88" i="6"/>
  <c r="D211" i="7" s="1"/>
  <c r="U89" i="6"/>
  <c r="U90" i="6"/>
  <c r="D64" i="7" s="1"/>
  <c r="U91" i="6"/>
  <c r="D207" i="7" s="1"/>
  <c r="U92" i="6"/>
  <c r="D196" i="7" s="1"/>
  <c r="U93" i="6"/>
  <c r="D155" i="7" s="1"/>
  <c r="U94" i="6"/>
  <c r="D116" i="7" s="1"/>
  <c r="U95" i="6"/>
  <c r="D169" i="7" s="1"/>
  <c r="U96" i="6"/>
  <c r="D222" i="7" s="1"/>
  <c r="U97" i="6"/>
  <c r="D35" i="7" s="1"/>
  <c r="U98" i="6"/>
  <c r="D78" i="7" s="1"/>
  <c r="U99" i="6"/>
  <c r="D79" i="7" s="1"/>
  <c r="U100" i="6"/>
  <c r="D80" i="7" s="1"/>
  <c r="U101" i="6"/>
  <c r="D66" i="7" s="1"/>
  <c r="U102" i="6"/>
  <c r="U103" i="6"/>
  <c r="D60" i="7" s="1"/>
  <c r="U104" i="6"/>
  <c r="U105" i="6"/>
  <c r="U106" i="6"/>
  <c r="D221" i="7" s="1"/>
  <c r="U107" i="6"/>
  <c r="D106" i="7" s="1"/>
  <c r="U108" i="6"/>
  <c r="D170" i="7" s="1"/>
  <c r="U109" i="6"/>
  <c r="D114" i="7" s="1"/>
  <c r="U110" i="6"/>
  <c r="U111" i="6"/>
  <c r="U112" i="6"/>
  <c r="U113" i="6"/>
  <c r="U114" i="6"/>
  <c r="U115" i="6"/>
  <c r="U116" i="6"/>
  <c r="U117" i="6"/>
  <c r="D154" i="7" s="1"/>
  <c r="U118" i="6"/>
  <c r="D72" i="7" s="1"/>
  <c r="U119" i="6"/>
  <c r="D62" i="7" s="1"/>
  <c r="U120" i="6"/>
  <c r="D203" i="7" s="1"/>
  <c r="U121" i="6"/>
  <c r="D42" i="7" s="1"/>
  <c r="U122" i="6"/>
  <c r="D171" i="7" s="1"/>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75" i="6"/>
  <c r="U176" i="6"/>
  <c r="U177" i="6"/>
  <c r="U178" i="6"/>
  <c r="U179" i="6"/>
  <c r="U180" i="6"/>
  <c r="U181" i="6"/>
  <c r="D146" i="7" s="1"/>
  <c r="U182" i="6"/>
  <c r="D150" i="7" s="1"/>
  <c r="U183" i="6"/>
  <c r="U184" i="6"/>
  <c r="U185" i="6"/>
  <c r="U186" i="6"/>
  <c r="D100" i="7" s="1"/>
  <c r="U187" i="6"/>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T5"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4" i="6"/>
  <c r="M153" i="7"/>
  <c r="M44" i="7"/>
  <c r="M24" i="7"/>
  <c r="M51" i="7"/>
  <c r="M85" i="7"/>
  <c r="M120" i="7"/>
  <c r="M101" i="7"/>
  <c r="M200" i="7"/>
  <c r="M184" i="7"/>
  <c r="M97" i="7"/>
  <c r="M121" i="7"/>
  <c r="M139" i="7"/>
  <c r="M174" i="7"/>
  <c r="M175" i="7"/>
  <c r="M228" i="7"/>
  <c r="M229" i="7"/>
  <c r="M122" i="7"/>
  <c r="M86" i="7"/>
  <c r="M40" i="7"/>
  <c r="M21" i="7"/>
  <c r="M53" i="7"/>
  <c r="M147" i="7"/>
  <c r="M230" i="7"/>
  <c r="M38" i="7"/>
  <c r="M25" i="7"/>
  <c r="M213" i="7"/>
  <c r="M18" i="7"/>
  <c r="M192" i="7"/>
  <c r="M227" i="7"/>
  <c r="M210" i="7"/>
  <c r="M141" i="7"/>
  <c r="M29" i="7"/>
  <c r="M158" i="7"/>
  <c r="M117" i="7"/>
  <c r="M123" i="7"/>
  <c r="M124" i="7"/>
  <c r="M125" i="7"/>
  <c r="M231" i="7"/>
  <c r="M187" i="7"/>
  <c r="M162" i="7"/>
  <c r="M156" i="7"/>
  <c r="M36" i="7"/>
  <c r="M183" i="7"/>
  <c r="M17" i="7"/>
  <c r="M209" i="7"/>
  <c r="M195" i="7"/>
  <c r="M15" i="7"/>
  <c r="M13" i="7"/>
  <c r="M205" i="7"/>
  <c r="M16" i="7"/>
  <c r="M110" i="7"/>
  <c r="M103" i="7"/>
  <c r="M54" i="7"/>
  <c r="M99" i="7"/>
  <c r="M92" i="7"/>
  <c r="M225" i="7"/>
  <c r="M126" i="7"/>
  <c r="M180" i="7"/>
  <c r="M232" i="7"/>
  <c r="M189" i="7"/>
  <c r="M201" i="7"/>
  <c r="M56" i="7"/>
  <c r="M87" i="7"/>
  <c r="M143" i="7"/>
  <c r="M134" i="7"/>
  <c r="M216" i="7"/>
  <c r="M185" i="7"/>
  <c r="M179" i="7"/>
  <c r="M181" i="7"/>
  <c r="M32" i="7"/>
  <c r="M37" i="7"/>
  <c r="M22" i="7"/>
  <c r="M28" i="7"/>
  <c r="M233" i="7"/>
  <c r="M14" i="7"/>
  <c r="M31" i="7"/>
  <c r="M212" i="7"/>
  <c r="M23" i="7"/>
  <c r="M34" i="7"/>
  <c r="M20" i="7"/>
  <c r="M88" i="7"/>
  <c r="M89" i="7"/>
  <c r="M93" i="7"/>
  <c r="M102" i="7"/>
  <c r="M127" i="7"/>
  <c r="M128" i="7"/>
  <c r="M12" i="7"/>
  <c r="N12" i="7" s="1"/>
  <c r="M96" i="7"/>
  <c r="M166" i="7"/>
  <c r="M49" i="7"/>
  <c r="M33" i="7"/>
  <c r="M234" i="7"/>
  <c r="M235" i="7"/>
  <c r="M161" i="7"/>
  <c r="M149" i="7"/>
  <c r="M176" i="7"/>
  <c r="M177" i="7"/>
  <c r="M90" i="7"/>
  <c r="M91" i="7"/>
  <c r="M48" i="7"/>
  <c r="M26" i="7"/>
  <c r="M27" i="7"/>
  <c r="M142" i="7"/>
  <c r="M19" i="7"/>
  <c r="M30" i="7"/>
  <c r="M206" i="7"/>
  <c r="M193" i="7"/>
  <c r="M236" i="7"/>
  <c r="M194" i="7"/>
  <c r="M202" i="7"/>
  <c r="M152" i="7"/>
  <c r="M104" i="7"/>
  <c r="M237" i="7"/>
  <c r="M238" i="7"/>
  <c r="M63" i="7"/>
  <c r="M215" i="7"/>
  <c r="M208" i="7"/>
  <c r="M107" i="7"/>
  <c r="M218" i="7"/>
  <c r="M59" i="7"/>
  <c r="M69" i="7"/>
  <c r="M75" i="7"/>
  <c r="M76" i="7"/>
  <c r="M77" i="7"/>
  <c r="M61" i="7"/>
  <c r="M190" i="7"/>
  <c r="M71" i="7"/>
  <c r="M52" i="7"/>
  <c r="M45" i="7"/>
  <c r="M55" i="7"/>
  <c r="M105" i="7"/>
  <c r="M98" i="7"/>
  <c r="M113" i="7"/>
  <c r="M95" i="7"/>
  <c r="M137" i="7"/>
  <c r="M163" i="7"/>
  <c r="M144" i="7"/>
  <c r="M159" i="7"/>
  <c r="M164" i="7"/>
  <c r="M50" i="7"/>
  <c r="M83" i="7"/>
  <c r="M204" i="7"/>
  <c r="M43" i="7"/>
  <c r="M197" i="7"/>
  <c r="M65" i="7"/>
  <c r="M224" i="7"/>
  <c r="M81" i="7"/>
  <c r="M167" i="7"/>
  <c r="M82" i="7"/>
  <c r="M68" i="7"/>
  <c r="M70" i="7"/>
  <c r="M172" i="7"/>
  <c r="M140" i="7"/>
  <c r="M199" i="7"/>
  <c r="M73" i="7"/>
  <c r="M191" i="7"/>
  <c r="M219" i="7"/>
  <c r="M108" i="7"/>
  <c r="M157" i="7"/>
  <c r="M217" i="7"/>
  <c r="M182" i="7"/>
  <c r="M112" i="7"/>
  <c r="M119" i="7"/>
  <c r="M84" i="7"/>
  <c r="M133" i="7"/>
  <c r="M67" i="7"/>
  <c r="M136" i="7"/>
  <c r="M46" i="7"/>
  <c r="M41" i="7"/>
  <c r="M47" i="7"/>
  <c r="M57" i="7"/>
  <c r="M198" i="7"/>
  <c r="M165" i="7"/>
  <c r="M132" i="7"/>
  <c r="M135" i="7"/>
  <c r="M109" i="7"/>
  <c r="M138" i="7"/>
  <c r="M160" i="7"/>
  <c r="M188" i="7"/>
  <c r="M148" i="7"/>
  <c r="M39" i="7"/>
  <c r="M58" i="7"/>
  <c r="M111" i="7"/>
  <c r="M214" i="7"/>
  <c r="M131" i="7"/>
  <c r="M130" i="7"/>
  <c r="M151" i="7"/>
  <c r="M168" i="7"/>
  <c r="M94" i="7"/>
  <c r="M186" i="7"/>
  <c r="M223" i="7"/>
  <c r="M226" i="7"/>
  <c r="M154" i="7"/>
  <c r="M72" i="7"/>
  <c r="M62" i="7"/>
  <c r="M203" i="7"/>
  <c r="M145" i="7"/>
  <c r="M211" i="7"/>
  <c r="M64" i="7"/>
  <c r="M207" i="7"/>
  <c r="M196" i="7"/>
  <c r="M155" i="7"/>
  <c r="M116" i="7"/>
  <c r="M169" i="7"/>
  <c r="M222" i="7"/>
  <c r="M35" i="7"/>
  <c r="M78" i="7"/>
  <c r="M79" i="7"/>
  <c r="M80" i="7"/>
  <c r="M66" i="7"/>
  <c r="M60" i="7"/>
  <c r="M220" i="7"/>
  <c r="M221" i="7"/>
  <c r="M106" i="7"/>
  <c r="M170" i="7"/>
  <c r="M114" i="7"/>
  <c r="M178" i="7"/>
  <c r="M74" i="7"/>
  <c r="M115" i="7"/>
  <c r="M173" i="7"/>
  <c r="M42" i="7"/>
  <c r="M171" i="7"/>
  <c r="M146" i="7"/>
  <c r="M150" i="7"/>
  <c r="M129" i="7"/>
  <c r="M118" i="7"/>
  <c r="M100" i="7"/>
  <c r="L153" i="7"/>
  <c r="L44" i="7"/>
  <c r="L24" i="7"/>
  <c r="L51" i="7"/>
  <c r="L85" i="7"/>
  <c r="L120" i="7"/>
  <c r="L101" i="7"/>
  <c r="L200" i="7"/>
  <c r="L184" i="7"/>
  <c r="L97" i="7"/>
  <c r="L121" i="7"/>
  <c r="L139" i="7"/>
  <c r="L174" i="7"/>
  <c r="L175" i="7"/>
  <c r="L228" i="7"/>
  <c r="L229" i="7"/>
  <c r="L122" i="7"/>
  <c r="L86" i="7"/>
  <c r="L40" i="7"/>
  <c r="L21" i="7"/>
  <c r="L53" i="7"/>
  <c r="L147" i="7"/>
  <c r="L230" i="7"/>
  <c r="L38" i="7"/>
  <c r="L25" i="7"/>
  <c r="L213" i="7"/>
  <c r="L18" i="7"/>
  <c r="L192" i="7"/>
  <c r="L227" i="7"/>
  <c r="L210" i="7"/>
  <c r="L141" i="7"/>
  <c r="L29" i="7"/>
  <c r="L158" i="7"/>
  <c r="L117" i="7"/>
  <c r="L123" i="7"/>
  <c r="L124" i="7"/>
  <c r="L125" i="7"/>
  <c r="L231" i="7"/>
  <c r="L187" i="7"/>
  <c r="L162" i="7"/>
  <c r="L156" i="7"/>
  <c r="L36" i="7"/>
  <c r="L183" i="7"/>
  <c r="L17" i="7"/>
  <c r="L209" i="7"/>
  <c r="L195" i="7"/>
  <c r="L15" i="7"/>
  <c r="L13" i="7"/>
  <c r="L205" i="7"/>
  <c r="L16" i="7"/>
  <c r="L110" i="7"/>
  <c r="L103" i="7"/>
  <c r="L54" i="7"/>
  <c r="L99" i="7"/>
  <c r="L92" i="7"/>
  <c r="L225" i="7"/>
  <c r="L126" i="7"/>
  <c r="L180" i="7"/>
  <c r="L232" i="7"/>
  <c r="L189" i="7"/>
  <c r="L201" i="7"/>
  <c r="L56" i="7"/>
  <c r="L87" i="7"/>
  <c r="L143" i="7"/>
  <c r="L134" i="7"/>
  <c r="L216" i="7"/>
  <c r="L185" i="7"/>
  <c r="L179" i="7"/>
  <c r="L181" i="7"/>
  <c r="L32" i="7"/>
  <c r="L37" i="7"/>
  <c r="L22" i="7"/>
  <c r="L28" i="7"/>
  <c r="L233" i="7"/>
  <c r="L14" i="7"/>
  <c r="L31" i="7"/>
  <c r="L212" i="7"/>
  <c r="L23" i="7"/>
  <c r="L34" i="7"/>
  <c r="L20" i="7"/>
  <c r="L88" i="7"/>
  <c r="L89" i="7"/>
  <c r="L93" i="7"/>
  <c r="L102" i="7"/>
  <c r="L127" i="7"/>
  <c r="L128" i="7"/>
  <c r="L12" i="7"/>
  <c r="L96" i="7"/>
  <c r="L166" i="7"/>
  <c r="L49" i="7"/>
  <c r="L33" i="7"/>
  <c r="L234" i="7"/>
  <c r="L235" i="7"/>
  <c r="L161" i="7"/>
  <c r="L149" i="7"/>
  <c r="L176" i="7"/>
  <c r="L177" i="7"/>
  <c r="L90" i="7"/>
  <c r="L91" i="7"/>
  <c r="L48" i="7"/>
  <c r="L26" i="7"/>
  <c r="L27" i="7"/>
  <c r="L142" i="7"/>
  <c r="L19" i="7"/>
  <c r="L30" i="7"/>
  <c r="L206" i="7"/>
  <c r="L193" i="7"/>
  <c r="L236" i="7"/>
  <c r="L194" i="7"/>
  <c r="L202" i="7"/>
  <c r="L152" i="7"/>
  <c r="L104" i="7"/>
  <c r="L237" i="7"/>
  <c r="L238" i="7"/>
  <c r="L63" i="7"/>
  <c r="L215" i="7"/>
  <c r="L208" i="7"/>
  <c r="L107" i="7"/>
  <c r="L218" i="7"/>
  <c r="L59" i="7"/>
  <c r="L69" i="7"/>
  <c r="L75" i="7"/>
  <c r="L76" i="7"/>
  <c r="L77" i="7"/>
  <c r="L61" i="7"/>
  <c r="L190" i="7"/>
  <c r="L71" i="7"/>
  <c r="L52" i="7"/>
  <c r="L45" i="7"/>
  <c r="L55" i="7"/>
  <c r="L105" i="7"/>
  <c r="L98" i="7"/>
  <c r="L113" i="7"/>
  <c r="L95" i="7"/>
  <c r="L137" i="7"/>
  <c r="L163" i="7"/>
  <c r="L144" i="7"/>
  <c r="L159" i="7"/>
  <c r="L164" i="7"/>
  <c r="L50" i="7"/>
  <c r="L83" i="7"/>
  <c r="L204" i="7"/>
  <c r="L43" i="7"/>
  <c r="L197" i="7"/>
  <c r="L65" i="7"/>
  <c r="L224" i="7"/>
  <c r="L81" i="7"/>
  <c r="L167" i="7"/>
  <c r="L82" i="7"/>
  <c r="L68" i="7"/>
  <c r="L70" i="7"/>
  <c r="L172" i="7"/>
  <c r="L140" i="7"/>
  <c r="L199" i="7"/>
  <c r="L73" i="7"/>
  <c r="L191" i="7"/>
  <c r="L219" i="7"/>
  <c r="L108" i="7"/>
  <c r="L157" i="7"/>
  <c r="L217" i="7"/>
  <c r="L182" i="7"/>
  <c r="L112" i="7"/>
  <c r="L119" i="7"/>
  <c r="L84" i="7"/>
  <c r="L133" i="7"/>
  <c r="L67" i="7"/>
  <c r="L136" i="7"/>
  <c r="L46" i="7"/>
  <c r="L41" i="7"/>
  <c r="L47" i="7"/>
  <c r="L57" i="7"/>
  <c r="L198" i="7"/>
  <c r="L165" i="7"/>
  <c r="L132" i="7"/>
  <c r="L135" i="7"/>
  <c r="L109" i="7"/>
  <c r="L138" i="7"/>
  <c r="L160" i="7"/>
  <c r="L188" i="7"/>
  <c r="L148" i="7"/>
  <c r="L39" i="7"/>
  <c r="L58" i="7"/>
  <c r="L111" i="7"/>
  <c r="L214" i="7"/>
  <c r="L131" i="7"/>
  <c r="L130" i="7"/>
  <c r="L151" i="7"/>
  <c r="L168" i="7"/>
  <c r="L94" i="7"/>
  <c r="L186" i="7"/>
  <c r="L223" i="7"/>
  <c r="L226" i="7"/>
  <c r="L154" i="7"/>
  <c r="L72" i="7"/>
  <c r="L62" i="7"/>
  <c r="L203" i="7"/>
  <c r="L145" i="7"/>
  <c r="L211" i="7"/>
  <c r="L64" i="7"/>
  <c r="L207" i="7"/>
  <c r="L196" i="7"/>
  <c r="L155" i="7"/>
  <c r="L116" i="7"/>
  <c r="L169" i="7"/>
  <c r="L222" i="7"/>
  <c r="L35" i="7"/>
  <c r="L78" i="7"/>
  <c r="L79" i="7"/>
  <c r="L80" i="7"/>
  <c r="L66" i="7"/>
  <c r="L60" i="7"/>
  <c r="L220" i="7"/>
  <c r="L221" i="7"/>
  <c r="L106" i="7"/>
  <c r="L170" i="7"/>
  <c r="L114" i="7"/>
  <c r="L178" i="7"/>
  <c r="L74" i="7"/>
  <c r="L115" i="7"/>
  <c r="L173" i="7"/>
  <c r="L42" i="7"/>
  <c r="L171" i="7"/>
  <c r="L146" i="7"/>
  <c r="L150" i="7"/>
  <c r="L129" i="7"/>
  <c r="L118" i="7"/>
  <c r="L100" i="7"/>
  <c r="D168" i="7"/>
  <c r="D223" i="7"/>
  <c r="D226" i="7"/>
  <c r="D220" i="7"/>
  <c r="D178" i="7"/>
  <c r="D74" i="7"/>
  <c r="D115" i="7"/>
  <c r="D173" i="7"/>
  <c r="D129" i="7"/>
  <c r="D118" i="7"/>
  <c r="E223" i="7"/>
  <c r="E226" i="7"/>
  <c r="E74" i="7"/>
  <c r="E115" i="7"/>
  <c r="E173" i="7"/>
  <c r="F223" i="7"/>
  <c r="F226" i="7"/>
  <c r="F74" i="7"/>
  <c r="F115" i="7"/>
  <c r="F173" i="7"/>
  <c r="G223" i="7"/>
  <c r="G226" i="7"/>
  <c r="G74" i="7"/>
  <c r="G115" i="7"/>
  <c r="G173" i="7"/>
  <c r="H223" i="7"/>
  <c r="H226" i="7"/>
  <c r="H74" i="7"/>
  <c r="H115" i="7"/>
  <c r="H173" i="7"/>
  <c r="I223" i="7"/>
  <c r="I226" i="7"/>
  <c r="I74" i="7"/>
  <c r="I115" i="7"/>
  <c r="I173" i="7"/>
  <c r="J223" i="7"/>
  <c r="J226" i="7"/>
  <c r="J74" i="7"/>
  <c r="J115" i="7"/>
  <c r="J173" i="7"/>
  <c r="O232" i="6"/>
  <c r="N232" i="6"/>
  <c r="M232" i="6"/>
  <c r="L232" i="6"/>
  <c r="K232" i="6"/>
  <c r="J232" i="6"/>
  <c r="O231" i="6"/>
  <c r="N231" i="6"/>
  <c r="M231" i="6"/>
  <c r="L231" i="6"/>
  <c r="K231" i="6"/>
  <c r="J231" i="6"/>
  <c r="O230" i="6"/>
  <c r="N230" i="6"/>
  <c r="M230" i="6"/>
  <c r="L230" i="6"/>
  <c r="K230" i="6"/>
  <c r="J230" i="6"/>
  <c r="O229" i="6"/>
  <c r="N229" i="6"/>
  <c r="M229" i="6"/>
  <c r="L229" i="6"/>
  <c r="K229" i="6"/>
  <c r="J229" i="6"/>
  <c r="O228" i="6"/>
  <c r="N228" i="6"/>
  <c r="M228" i="6"/>
  <c r="L228" i="6"/>
  <c r="K228" i="6"/>
  <c r="J228" i="6"/>
  <c r="O227" i="6"/>
  <c r="N227" i="6"/>
  <c r="M227" i="6"/>
  <c r="L227" i="6"/>
  <c r="K227" i="6"/>
  <c r="J227" i="6"/>
  <c r="O226" i="6"/>
  <c r="N226" i="6"/>
  <c r="M226" i="6"/>
  <c r="L226" i="6"/>
  <c r="K226" i="6"/>
  <c r="J226" i="6"/>
  <c r="O225" i="6"/>
  <c r="N225" i="6"/>
  <c r="M225" i="6"/>
  <c r="L225" i="6"/>
  <c r="K225" i="6"/>
  <c r="J225" i="6"/>
  <c r="O224" i="6"/>
  <c r="N224" i="6"/>
  <c r="M224" i="6"/>
  <c r="L224" i="6"/>
  <c r="K224" i="6"/>
  <c r="J224" i="6"/>
  <c r="O223" i="6"/>
  <c r="N223" i="6"/>
  <c r="M223" i="6"/>
  <c r="L223" i="6"/>
  <c r="K223" i="6"/>
  <c r="J223" i="6"/>
  <c r="O222" i="6"/>
  <c r="N222" i="6"/>
  <c r="M222" i="6"/>
  <c r="L222" i="6"/>
  <c r="K222" i="6"/>
  <c r="J222" i="6"/>
  <c r="O221" i="6"/>
  <c r="N221" i="6"/>
  <c r="M221" i="6"/>
  <c r="L221" i="6"/>
  <c r="K221" i="6"/>
  <c r="J221" i="6"/>
  <c r="O220" i="6"/>
  <c r="N220" i="6"/>
  <c r="M220" i="6"/>
  <c r="L220" i="6"/>
  <c r="K220" i="6"/>
  <c r="J220" i="6"/>
  <c r="O219" i="6"/>
  <c r="N219" i="6"/>
  <c r="M219" i="6"/>
  <c r="L219" i="6"/>
  <c r="K219" i="6"/>
  <c r="J219" i="6"/>
  <c r="O218" i="6"/>
  <c r="N218" i="6"/>
  <c r="M218" i="6"/>
  <c r="L218" i="6"/>
  <c r="K218" i="6"/>
  <c r="J218" i="6"/>
  <c r="O217" i="6"/>
  <c r="N217" i="6"/>
  <c r="M217" i="6"/>
  <c r="L217" i="6"/>
  <c r="K217" i="6"/>
  <c r="J217" i="6"/>
  <c r="O216" i="6"/>
  <c r="N216" i="6"/>
  <c r="M216" i="6"/>
  <c r="L216" i="6"/>
  <c r="K216" i="6"/>
  <c r="J216" i="6"/>
  <c r="O215" i="6"/>
  <c r="N215" i="6"/>
  <c r="M215" i="6"/>
  <c r="L215" i="6"/>
  <c r="K215" i="6"/>
  <c r="J215" i="6"/>
  <c r="O214" i="6"/>
  <c r="N214" i="6"/>
  <c r="M214" i="6"/>
  <c r="L214" i="6"/>
  <c r="K214" i="6"/>
  <c r="J214" i="6"/>
  <c r="O213" i="6"/>
  <c r="N213" i="6"/>
  <c r="M213" i="6"/>
  <c r="L213" i="6"/>
  <c r="K213" i="6"/>
  <c r="J213" i="6"/>
  <c r="O212" i="6"/>
  <c r="N212" i="6"/>
  <c r="M212" i="6"/>
  <c r="L212" i="6"/>
  <c r="K212" i="6"/>
  <c r="J212" i="6"/>
  <c r="O211" i="6"/>
  <c r="N211" i="6"/>
  <c r="M211" i="6"/>
  <c r="L211" i="6"/>
  <c r="R211" i="6" s="1"/>
  <c r="K211" i="6"/>
  <c r="Q211" i="6" s="1"/>
  <c r="J211" i="6"/>
  <c r="P211" i="6" s="1"/>
  <c r="O210" i="6"/>
  <c r="N210" i="6"/>
  <c r="M210" i="6"/>
  <c r="L210" i="6"/>
  <c r="K210" i="6"/>
  <c r="J210" i="6"/>
  <c r="O209" i="6"/>
  <c r="N209" i="6"/>
  <c r="M209" i="6"/>
  <c r="L209" i="6"/>
  <c r="K209" i="6"/>
  <c r="J209" i="6"/>
  <c r="O208" i="6"/>
  <c r="N208" i="6"/>
  <c r="M208" i="6"/>
  <c r="L208" i="6"/>
  <c r="K208" i="6"/>
  <c r="J208" i="6"/>
  <c r="O207" i="6"/>
  <c r="N207" i="6"/>
  <c r="M207" i="6"/>
  <c r="L207" i="6"/>
  <c r="K207" i="6"/>
  <c r="J207" i="6"/>
  <c r="O206" i="6"/>
  <c r="N206" i="6"/>
  <c r="M206" i="6"/>
  <c r="L206" i="6"/>
  <c r="K206" i="6"/>
  <c r="J206" i="6"/>
  <c r="O205" i="6"/>
  <c r="N205" i="6"/>
  <c r="M205" i="6"/>
  <c r="L205" i="6"/>
  <c r="K205" i="6"/>
  <c r="J205" i="6"/>
  <c r="O204" i="6"/>
  <c r="N204" i="6"/>
  <c r="M204" i="6"/>
  <c r="L204" i="6"/>
  <c r="K204" i="6"/>
  <c r="J204" i="6"/>
  <c r="O203" i="6"/>
  <c r="N203" i="6"/>
  <c r="M203" i="6"/>
  <c r="L203" i="6"/>
  <c r="K203" i="6"/>
  <c r="J203" i="6"/>
  <c r="O202" i="6"/>
  <c r="N202" i="6"/>
  <c r="M202" i="6"/>
  <c r="L202" i="6"/>
  <c r="K202" i="6"/>
  <c r="J202" i="6"/>
  <c r="O201" i="6"/>
  <c r="N201" i="6"/>
  <c r="M201" i="6"/>
  <c r="L201" i="6"/>
  <c r="K201" i="6"/>
  <c r="J201" i="6"/>
  <c r="O200" i="6"/>
  <c r="N200" i="6"/>
  <c r="M200" i="6"/>
  <c r="L200" i="6"/>
  <c r="K200" i="6"/>
  <c r="J200" i="6"/>
  <c r="O199" i="6"/>
  <c r="N199" i="6"/>
  <c r="M199" i="6"/>
  <c r="L199" i="6"/>
  <c r="K199" i="6"/>
  <c r="J199" i="6"/>
  <c r="O198" i="6"/>
  <c r="N198" i="6"/>
  <c r="M198" i="6"/>
  <c r="L198" i="6"/>
  <c r="K198" i="6"/>
  <c r="J198" i="6"/>
  <c r="O197" i="6"/>
  <c r="N197" i="6"/>
  <c r="M197" i="6"/>
  <c r="L197" i="6"/>
  <c r="K197" i="6"/>
  <c r="J197" i="6"/>
  <c r="O196" i="6"/>
  <c r="N196" i="6"/>
  <c r="M196" i="6"/>
  <c r="L196" i="6"/>
  <c r="K196" i="6"/>
  <c r="J196" i="6"/>
  <c r="O195" i="6"/>
  <c r="N195" i="6"/>
  <c r="M195" i="6"/>
  <c r="L195" i="6"/>
  <c r="R195" i="6" s="1"/>
  <c r="K195" i="6"/>
  <c r="Q195" i="6" s="1"/>
  <c r="J195" i="6"/>
  <c r="P195" i="6" s="1"/>
  <c r="O194" i="6"/>
  <c r="N194" i="6"/>
  <c r="M194" i="6"/>
  <c r="L194" i="6"/>
  <c r="K194" i="6"/>
  <c r="J194" i="6"/>
  <c r="O193" i="6"/>
  <c r="N193" i="6"/>
  <c r="M193" i="6"/>
  <c r="L193" i="6"/>
  <c r="K193" i="6"/>
  <c r="J193" i="6"/>
  <c r="O192" i="6"/>
  <c r="N192" i="6"/>
  <c r="M192" i="6"/>
  <c r="L192" i="6"/>
  <c r="K192" i="6"/>
  <c r="J192" i="6"/>
  <c r="O191" i="6"/>
  <c r="N191" i="6"/>
  <c r="M191" i="6"/>
  <c r="L191" i="6"/>
  <c r="K191" i="6"/>
  <c r="J191" i="6"/>
  <c r="O190" i="6"/>
  <c r="N190" i="6"/>
  <c r="M190" i="6"/>
  <c r="L190" i="6"/>
  <c r="K190" i="6"/>
  <c r="J190" i="6"/>
  <c r="O189" i="6"/>
  <c r="N189" i="6"/>
  <c r="M189" i="6"/>
  <c r="L189" i="6"/>
  <c r="K189" i="6"/>
  <c r="J189" i="6"/>
  <c r="O188" i="6"/>
  <c r="N188" i="6"/>
  <c r="M188" i="6"/>
  <c r="L188" i="6"/>
  <c r="K188" i="6"/>
  <c r="J188" i="6"/>
  <c r="O187" i="6"/>
  <c r="N187" i="6"/>
  <c r="M187" i="6"/>
  <c r="L187" i="6"/>
  <c r="K187" i="6"/>
  <c r="J187" i="6"/>
  <c r="O186" i="6"/>
  <c r="N186" i="6"/>
  <c r="M186" i="6"/>
  <c r="L186" i="6"/>
  <c r="K186" i="6"/>
  <c r="J186" i="6"/>
  <c r="O185" i="6"/>
  <c r="N185" i="6"/>
  <c r="M185" i="6"/>
  <c r="L185" i="6"/>
  <c r="K185" i="6"/>
  <c r="J185" i="6"/>
  <c r="O184" i="6"/>
  <c r="N184" i="6"/>
  <c r="M184" i="6"/>
  <c r="L184" i="6"/>
  <c r="K184" i="6"/>
  <c r="J184" i="6"/>
  <c r="O183" i="6"/>
  <c r="N183" i="6"/>
  <c r="M183" i="6"/>
  <c r="L183" i="6"/>
  <c r="K183" i="6"/>
  <c r="J183" i="6"/>
  <c r="O182" i="6"/>
  <c r="N182" i="6"/>
  <c r="M182" i="6"/>
  <c r="L182" i="6"/>
  <c r="K182" i="6"/>
  <c r="J182" i="6"/>
  <c r="O181" i="6"/>
  <c r="N181" i="6"/>
  <c r="M181" i="6"/>
  <c r="L181" i="6"/>
  <c r="K181" i="6"/>
  <c r="J181" i="6"/>
  <c r="O180" i="6"/>
  <c r="N180" i="6"/>
  <c r="M180" i="6"/>
  <c r="L180" i="6"/>
  <c r="K180" i="6"/>
  <c r="J180" i="6"/>
  <c r="O179" i="6"/>
  <c r="N179" i="6"/>
  <c r="M179" i="6"/>
  <c r="L179" i="6"/>
  <c r="K179" i="6"/>
  <c r="J179" i="6"/>
  <c r="O178" i="6"/>
  <c r="N178" i="6"/>
  <c r="M178" i="6"/>
  <c r="L178" i="6"/>
  <c r="K178" i="6"/>
  <c r="J178" i="6"/>
  <c r="O177" i="6"/>
  <c r="N177" i="6"/>
  <c r="M177" i="6"/>
  <c r="L177" i="6"/>
  <c r="K177" i="6"/>
  <c r="J177" i="6"/>
  <c r="O176" i="6"/>
  <c r="N176" i="6"/>
  <c r="M176" i="6"/>
  <c r="L176" i="6"/>
  <c r="K176" i="6"/>
  <c r="J176" i="6"/>
  <c r="O175" i="6"/>
  <c r="N175" i="6"/>
  <c r="M175" i="6"/>
  <c r="L175" i="6"/>
  <c r="K175" i="6"/>
  <c r="J175" i="6"/>
  <c r="O174" i="6"/>
  <c r="N174" i="6"/>
  <c r="M174" i="6"/>
  <c r="L174" i="6"/>
  <c r="K174" i="6"/>
  <c r="J174" i="6"/>
  <c r="O173" i="6"/>
  <c r="N173" i="6"/>
  <c r="M173" i="6"/>
  <c r="L173" i="6"/>
  <c r="K173" i="6"/>
  <c r="J173" i="6"/>
  <c r="O172" i="6"/>
  <c r="N172" i="6"/>
  <c r="M172" i="6"/>
  <c r="L172" i="6"/>
  <c r="K172" i="6"/>
  <c r="J172" i="6"/>
  <c r="O171" i="6"/>
  <c r="N171" i="6"/>
  <c r="M171" i="6"/>
  <c r="L171" i="6"/>
  <c r="K171" i="6"/>
  <c r="J171" i="6"/>
  <c r="O170" i="6"/>
  <c r="N170" i="6"/>
  <c r="M170" i="6"/>
  <c r="L170" i="6"/>
  <c r="K170" i="6"/>
  <c r="J170" i="6"/>
  <c r="O169" i="6"/>
  <c r="N169" i="6"/>
  <c r="M169" i="6"/>
  <c r="L169" i="6"/>
  <c r="K169" i="6"/>
  <c r="J169" i="6"/>
  <c r="O168" i="6"/>
  <c r="N168" i="6"/>
  <c r="M168" i="6"/>
  <c r="L168" i="6"/>
  <c r="K168" i="6"/>
  <c r="J168" i="6"/>
  <c r="O167" i="6"/>
  <c r="N167" i="6"/>
  <c r="M167" i="6"/>
  <c r="L167" i="6"/>
  <c r="K167" i="6"/>
  <c r="J167" i="6"/>
  <c r="O166" i="6"/>
  <c r="N166" i="6"/>
  <c r="M166" i="6"/>
  <c r="L166" i="6"/>
  <c r="K166" i="6"/>
  <c r="J166" i="6"/>
  <c r="O165" i="6"/>
  <c r="N165" i="6"/>
  <c r="M165" i="6"/>
  <c r="L165" i="6"/>
  <c r="K165" i="6"/>
  <c r="J165" i="6"/>
  <c r="O164" i="6"/>
  <c r="N164" i="6"/>
  <c r="M164" i="6"/>
  <c r="L164" i="6"/>
  <c r="K164" i="6"/>
  <c r="J164" i="6"/>
  <c r="O163" i="6"/>
  <c r="N163" i="6"/>
  <c r="M163" i="6"/>
  <c r="L163" i="6"/>
  <c r="K163" i="6"/>
  <c r="J163" i="6"/>
  <c r="O162" i="6"/>
  <c r="N162" i="6"/>
  <c r="M162" i="6"/>
  <c r="L162" i="6"/>
  <c r="K162" i="6"/>
  <c r="J162" i="6"/>
  <c r="O161" i="6"/>
  <c r="N161" i="6"/>
  <c r="M161" i="6"/>
  <c r="L161" i="6"/>
  <c r="K161" i="6"/>
  <c r="J161" i="6"/>
  <c r="O160" i="6"/>
  <c r="N160" i="6"/>
  <c r="M160" i="6"/>
  <c r="L160" i="6"/>
  <c r="K160" i="6"/>
  <c r="J160" i="6"/>
  <c r="O159" i="6"/>
  <c r="N159" i="6"/>
  <c r="M159" i="6"/>
  <c r="L159" i="6"/>
  <c r="K159" i="6"/>
  <c r="J159" i="6"/>
  <c r="O158" i="6"/>
  <c r="N158" i="6"/>
  <c r="M158" i="6"/>
  <c r="L158" i="6"/>
  <c r="K158" i="6"/>
  <c r="J158" i="6"/>
  <c r="O157" i="6"/>
  <c r="N157" i="6"/>
  <c r="M157" i="6"/>
  <c r="L157" i="6"/>
  <c r="K157" i="6"/>
  <c r="J157" i="6"/>
  <c r="O156" i="6"/>
  <c r="N156" i="6"/>
  <c r="M156" i="6"/>
  <c r="L156" i="6"/>
  <c r="K156" i="6"/>
  <c r="J156" i="6"/>
  <c r="O155" i="6"/>
  <c r="N155" i="6"/>
  <c r="M155" i="6"/>
  <c r="L155" i="6"/>
  <c r="K155" i="6"/>
  <c r="J155" i="6"/>
  <c r="O154" i="6"/>
  <c r="N154" i="6"/>
  <c r="M154" i="6"/>
  <c r="L154" i="6"/>
  <c r="K154" i="6"/>
  <c r="J154" i="6"/>
  <c r="O153" i="6"/>
  <c r="N153" i="6"/>
  <c r="M153" i="6"/>
  <c r="L153" i="6"/>
  <c r="K153" i="6"/>
  <c r="J153" i="6"/>
  <c r="O152" i="6"/>
  <c r="N152" i="6"/>
  <c r="M152" i="6"/>
  <c r="L152" i="6"/>
  <c r="K152" i="6"/>
  <c r="J152" i="6"/>
  <c r="O151" i="6"/>
  <c r="N151" i="6"/>
  <c r="M151" i="6"/>
  <c r="L151" i="6"/>
  <c r="K151" i="6"/>
  <c r="J151" i="6"/>
  <c r="O150" i="6"/>
  <c r="N150" i="6"/>
  <c r="M150" i="6"/>
  <c r="L150" i="6"/>
  <c r="K150" i="6"/>
  <c r="J150" i="6"/>
  <c r="O149" i="6"/>
  <c r="N149" i="6"/>
  <c r="M149" i="6"/>
  <c r="L149" i="6"/>
  <c r="K149" i="6"/>
  <c r="J149" i="6"/>
  <c r="O148" i="6"/>
  <c r="N148" i="6"/>
  <c r="M148" i="6"/>
  <c r="L148" i="6"/>
  <c r="K148" i="6"/>
  <c r="J148" i="6"/>
  <c r="O147" i="6"/>
  <c r="N147" i="6"/>
  <c r="M147" i="6"/>
  <c r="L147" i="6"/>
  <c r="R147" i="6" s="1"/>
  <c r="K147" i="6"/>
  <c r="Q147" i="6" s="1"/>
  <c r="J147" i="6"/>
  <c r="P147" i="6" s="1"/>
  <c r="O146" i="6"/>
  <c r="N146" i="6"/>
  <c r="M146" i="6"/>
  <c r="L146" i="6"/>
  <c r="R146" i="6" s="1"/>
  <c r="K146" i="6"/>
  <c r="Q146" i="6" s="1"/>
  <c r="J146" i="6"/>
  <c r="P146" i="6" s="1"/>
  <c r="O145" i="6"/>
  <c r="N145" i="6"/>
  <c r="M145" i="6"/>
  <c r="L145" i="6"/>
  <c r="R145" i="6" s="1"/>
  <c r="K145" i="6"/>
  <c r="Q145" i="6" s="1"/>
  <c r="J145" i="6"/>
  <c r="P145" i="6" s="1"/>
  <c r="O144" i="6"/>
  <c r="N144" i="6"/>
  <c r="M144" i="6"/>
  <c r="L144" i="6"/>
  <c r="K144" i="6"/>
  <c r="J144" i="6"/>
  <c r="O143" i="6"/>
  <c r="N143" i="6"/>
  <c r="M143" i="6"/>
  <c r="L143" i="6"/>
  <c r="K143" i="6"/>
  <c r="J143" i="6"/>
  <c r="O142" i="6"/>
  <c r="N142" i="6"/>
  <c r="M142" i="6"/>
  <c r="L142" i="6"/>
  <c r="K142" i="6"/>
  <c r="J142" i="6"/>
  <c r="O141" i="6"/>
  <c r="N141" i="6"/>
  <c r="M141" i="6"/>
  <c r="L141" i="6"/>
  <c r="K141" i="6"/>
  <c r="J141" i="6"/>
  <c r="O140" i="6"/>
  <c r="N140" i="6"/>
  <c r="M140" i="6"/>
  <c r="L140" i="6"/>
  <c r="K140" i="6"/>
  <c r="J140" i="6"/>
  <c r="O139" i="6"/>
  <c r="N139" i="6"/>
  <c r="M139" i="6"/>
  <c r="L139" i="6"/>
  <c r="K139" i="6"/>
  <c r="J139" i="6"/>
  <c r="O138" i="6"/>
  <c r="N138" i="6"/>
  <c r="M138" i="6"/>
  <c r="L138" i="6"/>
  <c r="K138" i="6"/>
  <c r="J138" i="6"/>
  <c r="O137" i="6"/>
  <c r="N137" i="6"/>
  <c r="M137" i="6"/>
  <c r="L137" i="6"/>
  <c r="K137" i="6"/>
  <c r="J137" i="6"/>
  <c r="O136" i="6"/>
  <c r="N136" i="6"/>
  <c r="M136" i="6"/>
  <c r="L136" i="6"/>
  <c r="K136" i="6"/>
  <c r="J136" i="6"/>
  <c r="O135" i="6"/>
  <c r="N135" i="6"/>
  <c r="M135" i="6"/>
  <c r="L135" i="6"/>
  <c r="K135" i="6"/>
  <c r="J135" i="6"/>
  <c r="O134" i="6"/>
  <c r="N134" i="6"/>
  <c r="M134" i="6"/>
  <c r="L134" i="6"/>
  <c r="K134" i="6"/>
  <c r="J134" i="6"/>
  <c r="O133" i="6"/>
  <c r="N133" i="6"/>
  <c r="M133" i="6"/>
  <c r="L133" i="6"/>
  <c r="K133" i="6"/>
  <c r="J133" i="6"/>
  <c r="O132" i="6"/>
  <c r="N132" i="6"/>
  <c r="M132" i="6"/>
  <c r="L132" i="6"/>
  <c r="R132" i="6" s="1"/>
  <c r="K132" i="6"/>
  <c r="Q132" i="6" s="1"/>
  <c r="J132" i="6"/>
  <c r="P132" i="6" s="1"/>
  <c r="O131" i="6"/>
  <c r="N131" i="6"/>
  <c r="M131" i="6"/>
  <c r="L131" i="6"/>
  <c r="R131" i="6" s="1"/>
  <c r="K131" i="6"/>
  <c r="Q131" i="6" s="1"/>
  <c r="J131" i="6"/>
  <c r="P131" i="6" s="1"/>
  <c r="O130" i="6"/>
  <c r="N130" i="6"/>
  <c r="M130" i="6"/>
  <c r="L130" i="6"/>
  <c r="K130" i="6"/>
  <c r="J130" i="6"/>
  <c r="O129" i="6"/>
  <c r="N129" i="6"/>
  <c r="M129" i="6"/>
  <c r="L129" i="6"/>
  <c r="K129" i="6"/>
  <c r="J129" i="6"/>
  <c r="O128" i="6"/>
  <c r="N128" i="6"/>
  <c r="M128" i="6"/>
  <c r="L128" i="6"/>
  <c r="K128" i="6"/>
  <c r="J128" i="6"/>
  <c r="O127" i="6"/>
  <c r="N127" i="6"/>
  <c r="M127" i="6"/>
  <c r="L127" i="6"/>
  <c r="R127" i="6" s="1"/>
  <c r="K127" i="6"/>
  <c r="Q127" i="6" s="1"/>
  <c r="J127" i="6"/>
  <c r="P127" i="6" s="1"/>
  <c r="O126" i="6"/>
  <c r="N126" i="6"/>
  <c r="M126" i="6"/>
  <c r="L126" i="6"/>
  <c r="R126" i="6" s="1"/>
  <c r="K126" i="6"/>
  <c r="Q126" i="6" s="1"/>
  <c r="J126" i="6"/>
  <c r="P126" i="6" s="1"/>
  <c r="O125" i="6"/>
  <c r="N125" i="6"/>
  <c r="M125" i="6"/>
  <c r="L125" i="6"/>
  <c r="K125" i="6"/>
  <c r="J125" i="6"/>
  <c r="O124" i="6"/>
  <c r="N124" i="6"/>
  <c r="M124" i="6"/>
  <c r="L124" i="6"/>
  <c r="K124" i="6"/>
  <c r="J124" i="6"/>
  <c r="O123" i="6"/>
  <c r="N123" i="6"/>
  <c r="M123" i="6"/>
  <c r="L123" i="6"/>
  <c r="K123" i="6"/>
  <c r="J123" i="6"/>
  <c r="O122" i="6"/>
  <c r="N122" i="6"/>
  <c r="M122" i="6"/>
  <c r="L122" i="6"/>
  <c r="K122" i="6"/>
  <c r="J122" i="6"/>
  <c r="O121" i="6"/>
  <c r="N121" i="6"/>
  <c r="M121" i="6"/>
  <c r="L121" i="6"/>
  <c r="K121" i="6"/>
  <c r="J121" i="6"/>
  <c r="O120" i="6"/>
  <c r="N120" i="6"/>
  <c r="M120" i="6"/>
  <c r="L120" i="6"/>
  <c r="K120" i="6"/>
  <c r="J120" i="6"/>
  <c r="O119" i="6"/>
  <c r="N119" i="6"/>
  <c r="M119" i="6"/>
  <c r="L119" i="6"/>
  <c r="K119" i="6"/>
  <c r="J119" i="6"/>
  <c r="O118" i="6"/>
  <c r="N118" i="6"/>
  <c r="M118" i="6"/>
  <c r="L118" i="6"/>
  <c r="K118" i="6"/>
  <c r="J118" i="6"/>
  <c r="O117" i="6"/>
  <c r="N117" i="6"/>
  <c r="M117" i="6"/>
  <c r="L117" i="6"/>
  <c r="K117" i="6"/>
  <c r="J117" i="6"/>
  <c r="O116" i="6"/>
  <c r="N116" i="6"/>
  <c r="M116" i="6"/>
  <c r="L116" i="6"/>
  <c r="K116" i="6"/>
  <c r="J116" i="6"/>
  <c r="O115" i="6"/>
  <c r="N115" i="6"/>
  <c r="M115" i="6"/>
  <c r="L115" i="6"/>
  <c r="K115" i="6"/>
  <c r="J115" i="6"/>
  <c r="O114" i="6"/>
  <c r="N114" i="6"/>
  <c r="M114" i="6"/>
  <c r="L114" i="6"/>
  <c r="K114" i="6"/>
  <c r="J114" i="6"/>
  <c r="O113" i="6"/>
  <c r="N113" i="6"/>
  <c r="M113" i="6"/>
  <c r="L113" i="6"/>
  <c r="K113" i="6"/>
  <c r="J113" i="6"/>
  <c r="O112" i="6"/>
  <c r="N112" i="6"/>
  <c r="M112" i="6"/>
  <c r="L112" i="6"/>
  <c r="K112" i="6"/>
  <c r="J112" i="6"/>
  <c r="O111" i="6"/>
  <c r="N111" i="6"/>
  <c r="M111" i="6"/>
  <c r="L111" i="6"/>
  <c r="R111" i="6" s="1"/>
  <c r="K111" i="6"/>
  <c r="Q111" i="6" s="1"/>
  <c r="J111" i="6"/>
  <c r="P111" i="6" s="1"/>
  <c r="O110" i="6"/>
  <c r="N110" i="6"/>
  <c r="M110" i="6"/>
  <c r="L110" i="6"/>
  <c r="K110" i="6"/>
  <c r="J110" i="6"/>
  <c r="O109" i="6"/>
  <c r="N109" i="6"/>
  <c r="M109" i="6"/>
  <c r="L109" i="6"/>
  <c r="K109" i="6"/>
  <c r="J109" i="6"/>
  <c r="O108" i="6"/>
  <c r="N108" i="6"/>
  <c r="M108" i="6"/>
  <c r="L108" i="6"/>
  <c r="K108" i="6"/>
  <c r="J108" i="6"/>
  <c r="O107" i="6"/>
  <c r="N107" i="6"/>
  <c r="M107" i="6"/>
  <c r="L107" i="6"/>
  <c r="K107" i="6"/>
  <c r="J107" i="6"/>
  <c r="O106" i="6"/>
  <c r="N106" i="6"/>
  <c r="M106" i="6"/>
  <c r="L106" i="6"/>
  <c r="K106" i="6"/>
  <c r="J106" i="6"/>
  <c r="O105" i="6"/>
  <c r="N105" i="6"/>
  <c r="M105" i="6"/>
  <c r="L105" i="6"/>
  <c r="K105" i="6"/>
  <c r="J105" i="6"/>
  <c r="O104" i="6"/>
  <c r="N104" i="6"/>
  <c r="M104" i="6"/>
  <c r="L104" i="6"/>
  <c r="K104" i="6"/>
  <c r="J104" i="6"/>
  <c r="O103" i="6"/>
  <c r="N103" i="6"/>
  <c r="M103" i="6"/>
  <c r="L103" i="6"/>
  <c r="K103" i="6"/>
  <c r="J103" i="6"/>
  <c r="O102" i="6"/>
  <c r="N102" i="6"/>
  <c r="M102" i="6"/>
  <c r="L102" i="6"/>
  <c r="K102" i="6"/>
  <c r="J102" i="6"/>
  <c r="O101" i="6"/>
  <c r="N101" i="6"/>
  <c r="M101" i="6"/>
  <c r="L101" i="6"/>
  <c r="K101" i="6"/>
  <c r="J101" i="6"/>
  <c r="O100" i="6"/>
  <c r="N100" i="6"/>
  <c r="M100" i="6"/>
  <c r="L100" i="6"/>
  <c r="K100" i="6"/>
  <c r="J100" i="6"/>
  <c r="O99" i="6"/>
  <c r="N99" i="6"/>
  <c r="M99" i="6"/>
  <c r="L99" i="6"/>
  <c r="K99" i="6"/>
  <c r="J99" i="6"/>
  <c r="O98" i="6"/>
  <c r="N98" i="6"/>
  <c r="M98" i="6"/>
  <c r="L98" i="6"/>
  <c r="K98" i="6"/>
  <c r="J98" i="6"/>
  <c r="O97" i="6"/>
  <c r="N97" i="6"/>
  <c r="M97" i="6"/>
  <c r="L97" i="6"/>
  <c r="K97" i="6"/>
  <c r="J97" i="6"/>
  <c r="O96" i="6"/>
  <c r="N96" i="6"/>
  <c r="M96" i="6"/>
  <c r="L96" i="6"/>
  <c r="K96" i="6"/>
  <c r="J96" i="6"/>
  <c r="O95" i="6"/>
  <c r="N95" i="6"/>
  <c r="M95" i="6"/>
  <c r="L95" i="6"/>
  <c r="K95" i="6"/>
  <c r="J95" i="6"/>
  <c r="O94" i="6"/>
  <c r="N94" i="6"/>
  <c r="M94" i="6"/>
  <c r="L94" i="6"/>
  <c r="K94" i="6"/>
  <c r="J94" i="6"/>
  <c r="O93" i="6"/>
  <c r="N93" i="6"/>
  <c r="M93" i="6"/>
  <c r="L93" i="6"/>
  <c r="K93" i="6"/>
  <c r="J93" i="6"/>
  <c r="O92" i="6"/>
  <c r="N92" i="6"/>
  <c r="M92" i="6"/>
  <c r="L92" i="6"/>
  <c r="K92" i="6"/>
  <c r="J92" i="6"/>
  <c r="O91" i="6"/>
  <c r="N91" i="6"/>
  <c r="M91" i="6"/>
  <c r="L91" i="6"/>
  <c r="K91" i="6"/>
  <c r="J91" i="6"/>
  <c r="O90" i="6"/>
  <c r="N90" i="6"/>
  <c r="M90" i="6"/>
  <c r="L90" i="6"/>
  <c r="K90" i="6"/>
  <c r="J90" i="6"/>
  <c r="O89" i="6"/>
  <c r="N89" i="6"/>
  <c r="M89" i="6"/>
  <c r="L89" i="6"/>
  <c r="K89" i="6"/>
  <c r="J89" i="6"/>
  <c r="O88" i="6"/>
  <c r="N88" i="6"/>
  <c r="M88" i="6"/>
  <c r="L88" i="6"/>
  <c r="K88" i="6"/>
  <c r="J88" i="6"/>
  <c r="O87" i="6"/>
  <c r="N87" i="6"/>
  <c r="M87" i="6"/>
  <c r="L87" i="6"/>
  <c r="K87" i="6"/>
  <c r="J87" i="6"/>
  <c r="O86" i="6"/>
  <c r="N86" i="6"/>
  <c r="M86" i="6"/>
  <c r="L86" i="6"/>
  <c r="K86" i="6"/>
  <c r="J86" i="6"/>
  <c r="O85" i="6"/>
  <c r="N85" i="6"/>
  <c r="M85" i="6"/>
  <c r="L85" i="6"/>
  <c r="K85" i="6"/>
  <c r="J85" i="6"/>
  <c r="O84" i="6"/>
  <c r="N84" i="6"/>
  <c r="M84" i="6"/>
  <c r="L84" i="6"/>
  <c r="K84" i="6"/>
  <c r="J84" i="6"/>
  <c r="O83" i="6"/>
  <c r="N83" i="6"/>
  <c r="M83" i="6"/>
  <c r="L83" i="6"/>
  <c r="K83" i="6"/>
  <c r="J83" i="6"/>
  <c r="O82" i="6"/>
  <c r="N82" i="6"/>
  <c r="M82" i="6"/>
  <c r="L82" i="6"/>
  <c r="K82" i="6"/>
  <c r="J82" i="6"/>
  <c r="O81" i="6"/>
  <c r="N81" i="6"/>
  <c r="M81" i="6"/>
  <c r="L81" i="6"/>
  <c r="K81" i="6"/>
  <c r="J81" i="6"/>
  <c r="O80" i="6"/>
  <c r="N80" i="6"/>
  <c r="M80" i="6"/>
  <c r="L80" i="6"/>
  <c r="K80" i="6"/>
  <c r="J80" i="6"/>
  <c r="O79" i="6"/>
  <c r="N79" i="6"/>
  <c r="M79" i="6"/>
  <c r="L79" i="6"/>
  <c r="K79" i="6"/>
  <c r="J79" i="6"/>
  <c r="O78" i="6"/>
  <c r="N78" i="6"/>
  <c r="M78" i="6"/>
  <c r="L78" i="6"/>
  <c r="K78" i="6"/>
  <c r="J78" i="6"/>
  <c r="O77" i="6"/>
  <c r="N77" i="6"/>
  <c r="M77" i="6"/>
  <c r="L77" i="6"/>
  <c r="K77" i="6"/>
  <c r="J77" i="6"/>
  <c r="O76" i="6"/>
  <c r="N76" i="6"/>
  <c r="M76" i="6"/>
  <c r="L76" i="6"/>
  <c r="K76" i="6"/>
  <c r="J76" i="6"/>
  <c r="O75" i="6"/>
  <c r="N75" i="6"/>
  <c r="M75" i="6"/>
  <c r="L75" i="6"/>
  <c r="K75" i="6"/>
  <c r="J75" i="6"/>
  <c r="O74" i="6"/>
  <c r="N74" i="6"/>
  <c r="M74" i="6"/>
  <c r="L74" i="6"/>
  <c r="K74" i="6"/>
  <c r="J74" i="6"/>
  <c r="O73" i="6"/>
  <c r="N73" i="6"/>
  <c r="M73" i="6"/>
  <c r="L73" i="6"/>
  <c r="K73" i="6"/>
  <c r="J73" i="6"/>
  <c r="O72" i="6"/>
  <c r="N72" i="6"/>
  <c r="M72" i="6"/>
  <c r="L72" i="6"/>
  <c r="K72" i="6"/>
  <c r="J72" i="6"/>
  <c r="O71" i="6"/>
  <c r="N71" i="6"/>
  <c r="M71" i="6"/>
  <c r="L71" i="6"/>
  <c r="K71" i="6"/>
  <c r="J71" i="6"/>
  <c r="O70" i="6"/>
  <c r="N70" i="6"/>
  <c r="M70" i="6"/>
  <c r="L70" i="6"/>
  <c r="K70" i="6"/>
  <c r="J70" i="6"/>
  <c r="O69" i="6"/>
  <c r="N69" i="6"/>
  <c r="M69" i="6"/>
  <c r="L69" i="6"/>
  <c r="K69" i="6"/>
  <c r="J69" i="6"/>
  <c r="O68" i="6"/>
  <c r="N68" i="6"/>
  <c r="M68" i="6"/>
  <c r="L68" i="6"/>
  <c r="K68" i="6"/>
  <c r="J68" i="6"/>
  <c r="O67" i="6"/>
  <c r="N67" i="6"/>
  <c r="M67" i="6"/>
  <c r="L67" i="6"/>
  <c r="K67" i="6"/>
  <c r="J67" i="6"/>
  <c r="O66" i="6"/>
  <c r="N66" i="6"/>
  <c r="M66" i="6"/>
  <c r="L66" i="6"/>
  <c r="K66" i="6"/>
  <c r="J66" i="6"/>
  <c r="O65" i="6"/>
  <c r="N65" i="6"/>
  <c r="M65" i="6"/>
  <c r="L65" i="6"/>
  <c r="K65" i="6"/>
  <c r="J65" i="6"/>
  <c r="O64" i="6"/>
  <c r="N64" i="6"/>
  <c r="M64" i="6"/>
  <c r="L64" i="6"/>
  <c r="K64" i="6"/>
  <c r="J64" i="6"/>
  <c r="O63" i="6"/>
  <c r="N63" i="6"/>
  <c r="M63" i="6"/>
  <c r="L63" i="6"/>
  <c r="K63" i="6"/>
  <c r="J63" i="6"/>
  <c r="O62" i="6"/>
  <c r="N62" i="6"/>
  <c r="M62" i="6"/>
  <c r="L62" i="6"/>
  <c r="K62" i="6"/>
  <c r="J62" i="6"/>
  <c r="O61" i="6"/>
  <c r="N61" i="6"/>
  <c r="M61" i="6"/>
  <c r="L61" i="6"/>
  <c r="K61" i="6"/>
  <c r="J61" i="6"/>
  <c r="O60" i="6"/>
  <c r="N60" i="6"/>
  <c r="M60" i="6"/>
  <c r="L60" i="6"/>
  <c r="K60" i="6"/>
  <c r="J60" i="6"/>
  <c r="O59" i="6"/>
  <c r="N59" i="6"/>
  <c r="M59" i="6"/>
  <c r="L59" i="6"/>
  <c r="K59" i="6"/>
  <c r="J59" i="6"/>
  <c r="O58" i="6"/>
  <c r="N58" i="6"/>
  <c r="M58" i="6"/>
  <c r="L58" i="6"/>
  <c r="K58" i="6"/>
  <c r="J58" i="6"/>
  <c r="O57" i="6"/>
  <c r="N57" i="6"/>
  <c r="M57" i="6"/>
  <c r="L57" i="6"/>
  <c r="K57" i="6"/>
  <c r="J57" i="6"/>
  <c r="O56" i="6"/>
  <c r="N56" i="6"/>
  <c r="M56" i="6"/>
  <c r="L56" i="6"/>
  <c r="K56" i="6"/>
  <c r="J56" i="6"/>
  <c r="O55" i="6"/>
  <c r="N55" i="6"/>
  <c r="M55" i="6"/>
  <c r="L55" i="6"/>
  <c r="K55" i="6"/>
  <c r="J55" i="6"/>
  <c r="O54" i="6"/>
  <c r="N54" i="6"/>
  <c r="M54" i="6"/>
  <c r="L54" i="6"/>
  <c r="K54" i="6"/>
  <c r="J54" i="6"/>
  <c r="O53" i="6"/>
  <c r="N53" i="6"/>
  <c r="M53" i="6"/>
  <c r="L53" i="6"/>
  <c r="K53" i="6"/>
  <c r="J53" i="6"/>
  <c r="O52" i="6"/>
  <c r="N52" i="6"/>
  <c r="M52" i="6"/>
  <c r="L52" i="6"/>
  <c r="K52" i="6"/>
  <c r="J52" i="6"/>
  <c r="O51" i="6"/>
  <c r="N51" i="6"/>
  <c r="M51" i="6"/>
  <c r="L51" i="6"/>
  <c r="K51" i="6"/>
  <c r="J51" i="6"/>
  <c r="O50" i="6"/>
  <c r="N50" i="6"/>
  <c r="M50" i="6"/>
  <c r="L50" i="6"/>
  <c r="K50" i="6"/>
  <c r="J50" i="6"/>
  <c r="O49" i="6"/>
  <c r="N49" i="6"/>
  <c r="M49" i="6"/>
  <c r="L49" i="6"/>
  <c r="K49" i="6"/>
  <c r="J49" i="6"/>
  <c r="O48" i="6"/>
  <c r="N48" i="6"/>
  <c r="M48" i="6"/>
  <c r="L48" i="6"/>
  <c r="K48" i="6"/>
  <c r="J48" i="6"/>
  <c r="O47" i="6"/>
  <c r="N47" i="6"/>
  <c r="M47" i="6"/>
  <c r="L47" i="6"/>
  <c r="K47" i="6"/>
  <c r="J47" i="6"/>
  <c r="O46" i="6"/>
  <c r="N46" i="6"/>
  <c r="M46" i="6"/>
  <c r="L46" i="6"/>
  <c r="K46" i="6"/>
  <c r="J46" i="6"/>
  <c r="O45" i="6"/>
  <c r="N45" i="6"/>
  <c r="M45" i="6"/>
  <c r="L45" i="6"/>
  <c r="K45" i="6"/>
  <c r="J45" i="6"/>
  <c r="O44" i="6"/>
  <c r="N44" i="6"/>
  <c r="M44" i="6"/>
  <c r="L44" i="6"/>
  <c r="K44" i="6"/>
  <c r="J44" i="6"/>
  <c r="O43" i="6"/>
  <c r="N43" i="6"/>
  <c r="M43" i="6"/>
  <c r="L43" i="6"/>
  <c r="K43" i="6"/>
  <c r="J43" i="6"/>
  <c r="O42" i="6"/>
  <c r="N42" i="6"/>
  <c r="M42" i="6"/>
  <c r="L42" i="6"/>
  <c r="K42" i="6"/>
  <c r="J42" i="6"/>
  <c r="O41" i="6"/>
  <c r="N41" i="6"/>
  <c r="M41" i="6"/>
  <c r="L41" i="6"/>
  <c r="K41" i="6"/>
  <c r="J41" i="6"/>
  <c r="O40" i="6"/>
  <c r="N40" i="6"/>
  <c r="M40" i="6"/>
  <c r="L40" i="6"/>
  <c r="K40" i="6"/>
  <c r="J40" i="6"/>
  <c r="O39" i="6"/>
  <c r="N39" i="6"/>
  <c r="M39" i="6"/>
  <c r="L39" i="6"/>
  <c r="K39" i="6"/>
  <c r="J39" i="6"/>
  <c r="O38" i="6"/>
  <c r="N38" i="6"/>
  <c r="M38" i="6"/>
  <c r="L38" i="6"/>
  <c r="K38" i="6"/>
  <c r="J38" i="6"/>
  <c r="O37" i="6"/>
  <c r="N37" i="6"/>
  <c r="M37" i="6"/>
  <c r="L37" i="6"/>
  <c r="K37" i="6"/>
  <c r="J37" i="6"/>
  <c r="O36" i="6"/>
  <c r="N36" i="6"/>
  <c r="M36" i="6"/>
  <c r="L36" i="6"/>
  <c r="K36" i="6"/>
  <c r="J36" i="6"/>
  <c r="O35" i="6"/>
  <c r="N35" i="6"/>
  <c r="M35" i="6"/>
  <c r="L35" i="6"/>
  <c r="K35" i="6"/>
  <c r="J35" i="6"/>
  <c r="O34" i="6"/>
  <c r="N34" i="6"/>
  <c r="M34" i="6"/>
  <c r="L34" i="6"/>
  <c r="K34" i="6"/>
  <c r="J34" i="6"/>
  <c r="O33" i="6"/>
  <c r="N33" i="6"/>
  <c r="M33" i="6"/>
  <c r="L33" i="6"/>
  <c r="K33" i="6"/>
  <c r="J33" i="6"/>
  <c r="O32" i="6"/>
  <c r="N32" i="6"/>
  <c r="M32" i="6"/>
  <c r="L32" i="6"/>
  <c r="K32" i="6"/>
  <c r="J32" i="6"/>
  <c r="O31" i="6"/>
  <c r="N31" i="6"/>
  <c r="M31" i="6"/>
  <c r="L31" i="6"/>
  <c r="K31" i="6"/>
  <c r="J31" i="6"/>
  <c r="O30" i="6"/>
  <c r="N30" i="6"/>
  <c r="M30" i="6"/>
  <c r="L30" i="6"/>
  <c r="K30" i="6"/>
  <c r="J30" i="6"/>
  <c r="O29" i="6"/>
  <c r="N29" i="6"/>
  <c r="M29" i="6"/>
  <c r="L29" i="6"/>
  <c r="K29" i="6"/>
  <c r="J29" i="6"/>
  <c r="O28" i="6"/>
  <c r="N28" i="6"/>
  <c r="M28" i="6"/>
  <c r="L28" i="6"/>
  <c r="K28" i="6"/>
  <c r="J28" i="6"/>
  <c r="O27" i="6"/>
  <c r="G186" i="7" s="1"/>
  <c r="N27" i="6"/>
  <c r="F186" i="7" s="1"/>
  <c r="M27" i="6"/>
  <c r="E186" i="7" s="1"/>
  <c r="L27" i="6"/>
  <c r="K27" i="6"/>
  <c r="J27" i="6"/>
  <c r="O26" i="6"/>
  <c r="G94" i="7" s="1"/>
  <c r="N26" i="6"/>
  <c r="F94" i="7" s="1"/>
  <c r="M26" i="6"/>
  <c r="E94" i="7" s="1"/>
  <c r="L26" i="6"/>
  <c r="K26" i="6"/>
  <c r="J26" i="6"/>
  <c r="O25" i="6"/>
  <c r="G168" i="7" s="1"/>
  <c r="N25" i="6"/>
  <c r="F168" i="7" s="1"/>
  <c r="M25" i="6"/>
  <c r="E168" i="7" s="1"/>
  <c r="L25" i="6"/>
  <c r="K25" i="6"/>
  <c r="J25" i="6"/>
  <c r="O24" i="6"/>
  <c r="G151" i="7" s="1"/>
  <c r="N24" i="6"/>
  <c r="F151" i="7" s="1"/>
  <c r="M24" i="6"/>
  <c r="E151" i="7" s="1"/>
  <c r="L24" i="6"/>
  <c r="K24" i="6"/>
  <c r="J24" i="6"/>
  <c r="O23" i="6"/>
  <c r="G130" i="7" s="1"/>
  <c r="N23" i="6"/>
  <c r="F130" i="7" s="1"/>
  <c r="M23" i="6"/>
  <c r="E130" i="7" s="1"/>
  <c r="L23" i="6"/>
  <c r="K23" i="6"/>
  <c r="J23" i="6"/>
  <c r="O22" i="6"/>
  <c r="N22" i="6"/>
  <c r="M22" i="6"/>
  <c r="L22" i="6"/>
  <c r="K22" i="6"/>
  <c r="J22" i="6"/>
  <c r="O21" i="6"/>
  <c r="N21" i="6"/>
  <c r="M21" i="6"/>
  <c r="L21" i="6"/>
  <c r="K21" i="6"/>
  <c r="J21" i="6"/>
  <c r="O20" i="6"/>
  <c r="N20" i="6"/>
  <c r="M20" i="6"/>
  <c r="L20" i="6"/>
  <c r="K20" i="6"/>
  <c r="J20" i="6"/>
  <c r="O19" i="6"/>
  <c r="N19" i="6"/>
  <c r="M19" i="6"/>
  <c r="L19" i="6"/>
  <c r="K19" i="6"/>
  <c r="J19" i="6"/>
  <c r="O18" i="6"/>
  <c r="N18" i="6"/>
  <c r="M18" i="6"/>
  <c r="L18" i="6"/>
  <c r="K18" i="6"/>
  <c r="J18" i="6"/>
  <c r="O17" i="6"/>
  <c r="N17" i="6"/>
  <c r="M17" i="6"/>
  <c r="L17" i="6"/>
  <c r="K17" i="6"/>
  <c r="J17" i="6"/>
  <c r="O16" i="6"/>
  <c r="N16" i="6"/>
  <c r="M16" i="6"/>
  <c r="L16" i="6"/>
  <c r="K16" i="6"/>
  <c r="J16" i="6"/>
  <c r="O15" i="6"/>
  <c r="N15" i="6"/>
  <c r="M15" i="6"/>
  <c r="L15" i="6"/>
  <c r="K15" i="6"/>
  <c r="J15" i="6"/>
  <c r="O14" i="6"/>
  <c r="N14" i="6"/>
  <c r="M14" i="6"/>
  <c r="L14" i="6"/>
  <c r="K14" i="6"/>
  <c r="J14" i="6"/>
  <c r="O13" i="6"/>
  <c r="N13" i="6"/>
  <c r="M13" i="6"/>
  <c r="L13" i="6"/>
  <c r="K13" i="6"/>
  <c r="J13" i="6"/>
  <c r="O12" i="6"/>
  <c r="N12" i="6"/>
  <c r="M12" i="6"/>
  <c r="L12" i="6"/>
  <c r="K12" i="6"/>
  <c r="J12" i="6"/>
  <c r="P12" i="6" s="1"/>
  <c r="O11" i="6"/>
  <c r="N11" i="6"/>
  <c r="M11" i="6"/>
  <c r="L11" i="6"/>
  <c r="K11" i="6"/>
  <c r="J11" i="6"/>
  <c r="O10" i="6"/>
  <c r="N10" i="6"/>
  <c r="M10" i="6"/>
  <c r="L10" i="6"/>
  <c r="K10" i="6"/>
  <c r="J10" i="6"/>
  <c r="O9" i="6"/>
  <c r="N9" i="6"/>
  <c r="M9" i="6"/>
  <c r="K9" i="6"/>
  <c r="J9" i="6"/>
  <c r="O8" i="6"/>
  <c r="N8" i="6"/>
  <c r="M8" i="6"/>
  <c r="L8" i="6"/>
  <c r="K8" i="6"/>
  <c r="J8" i="6"/>
  <c r="O7" i="6"/>
  <c r="N7" i="6"/>
  <c r="M7" i="6"/>
  <c r="L7" i="6"/>
  <c r="K7" i="6"/>
  <c r="O6" i="6"/>
  <c r="N6" i="6"/>
  <c r="M6" i="6"/>
  <c r="L6" i="6"/>
  <c r="R6" i="6" s="1"/>
  <c r="K6" i="6"/>
  <c r="Q6" i="6" s="1"/>
  <c r="J6" i="6"/>
  <c r="P6" i="6" s="1"/>
  <c r="O5" i="6"/>
  <c r="N5" i="6"/>
  <c r="M5" i="6"/>
  <c r="L5" i="6"/>
  <c r="K5" i="6"/>
  <c r="J5" i="6"/>
  <c r="O4" i="6"/>
  <c r="G178" i="7" s="1"/>
  <c r="N4" i="6"/>
  <c r="F178" i="7" s="1"/>
  <c r="M4" i="6"/>
  <c r="E178" i="7" s="1"/>
  <c r="N13" i="7" l="1"/>
  <c r="N14" i="7" s="1"/>
  <c r="N15" i="7" s="1"/>
  <c r="N16" i="7" s="1"/>
  <c r="N17" i="7" s="1"/>
  <c r="N18" i="7" s="1"/>
  <c r="N19" i="7" s="1"/>
  <c r="N20" i="7" s="1"/>
  <c r="N21" i="7" s="1"/>
  <c r="N22" i="7" s="1"/>
  <c r="N23" i="7" s="1"/>
  <c r="N24" i="7" s="1"/>
  <c r="N25" i="7" s="1"/>
  <c r="N26" i="7" s="1"/>
  <c r="N27" i="7" s="1"/>
  <c r="N28" i="7" s="1"/>
  <c r="N29" i="7" s="1"/>
  <c r="N30" i="7" s="1"/>
  <c r="N31" i="7" s="1"/>
  <c r="N32" i="7" s="1"/>
  <c r="N33" i="7" s="1"/>
  <c r="N34" i="7" s="1"/>
  <c r="N35" i="7" s="1"/>
  <c r="N36" i="7" s="1"/>
  <c r="N37" i="7" s="1"/>
  <c r="N38" i="7" s="1"/>
  <c r="N39" i="7" s="1"/>
  <c r="N40" i="7" s="1"/>
  <c r="N41" i="7" s="1"/>
  <c r="N42" i="7" s="1"/>
  <c r="N43" i="7" s="1"/>
  <c r="N44" i="7" s="1"/>
  <c r="N45" i="7" s="1"/>
  <c r="N46" i="7" s="1"/>
  <c r="N47" i="7" s="1"/>
  <c r="N48" i="7" s="1"/>
  <c r="N49" i="7" s="1"/>
  <c r="N50" i="7" s="1"/>
  <c r="N51" i="7" s="1"/>
  <c r="N52" i="7" s="1"/>
  <c r="N53" i="7" s="1"/>
  <c r="N54" i="7" s="1"/>
  <c r="N55" i="7" s="1"/>
  <c r="N56" i="7" s="1"/>
  <c r="N57" i="7" s="1"/>
  <c r="N58" i="7" s="1"/>
  <c r="N59" i="7" s="1"/>
  <c r="N60" i="7" s="1"/>
  <c r="N61" i="7" s="1"/>
  <c r="N62" i="7" s="1"/>
  <c r="N63" i="7" s="1"/>
  <c r="N64" i="7" s="1"/>
  <c r="N65" i="7" s="1"/>
  <c r="N66" i="7" s="1"/>
  <c r="N67" i="7" s="1"/>
  <c r="N68" i="7" s="1"/>
  <c r="N69" i="7" s="1"/>
  <c r="N70" i="7" s="1"/>
  <c r="N71" i="7" s="1"/>
  <c r="N72" i="7" s="1"/>
  <c r="N73" i="7" s="1"/>
  <c r="N74" i="7" s="1"/>
  <c r="N75" i="7" s="1"/>
  <c r="N76" i="7" s="1"/>
  <c r="N77" i="7" s="1"/>
  <c r="N78" i="7" s="1"/>
  <c r="N79" i="7" s="1"/>
  <c r="N80" i="7" s="1"/>
  <c r="N81" i="7" s="1"/>
  <c r="N82" i="7" s="1"/>
  <c r="N83" i="7" s="1"/>
  <c r="N84" i="7" s="1"/>
  <c r="N85" i="7" s="1"/>
  <c r="N86" i="7" s="1"/>
  <c r="N87" i="7" s="1"/>
  <c r="N88" i="7" s="1"/>
  <c r="N89" i="7" s="1"/>
  <c r="N90" i="7" s="1"/>
  <c r="N91" i="7" s="1"/>
  <c r="N92" i="7" s="1"/>
  <c r="N93" i="7" s="1"/>
  <c r="N94" i="7" s="1"/>
  <c r="N95" i="7" s="1"/>
  <c r="N96" i="7" s="1"/>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N230" i="7" s="1"/>
  <c r="N231" i="7" s="1"/>
  <c r="N232" i="7" s="1"/>
  <c r="N233" i="7" s="1"/>
  <c r="N234" i="7" s="1"/>
  <c r="N235" i="7" s="1"/>
  <c r="N236" i="7" s="1"/>
  <c r="N237" i="7" s="1"/>
  <c r="N238" i="7" s="1"/>
  <c r="N239" i="7" s="1"/>
  <c r="N240" i="7" s="1"/>
  <c r="M241" i="7"/>
  <c r="N249" i="7"/>
  <c r="E145" i="7"/>
  <c r="F145" i="7"/>
  <c r="G211" i="7"/>
  <c r="E207" i="7"/>
  <c r="F207" i="7"/>
  <c r="G196" i="7"/>
  <c r="F155" i="7"/>
  <c r="E169" i="7"/>
  <c r="F169" i="7"/>
  <c r="G222" i="7"/>
  <c r="F35" i="7"/>
  <c r="E79" i="7"/>
  <c r="F79" i="7"/>
  <c r="G80" i="7"/>
  <c r="F66" i="7"/>
  <c r="E60" i="7"/>
  <c r="F60" i="7"/>
  <c r="F220" i="7"/>
  <c r="E106" i="7"/>
  <c r="F106" i="7"/>
  <c r="G170" i="7"/>
  <c r="F114" i="7"/>
  <c r="F154" i="7"/>
  <c r="F62" i="7"/>
  <c r="F42" i="7"/>
  <c r="F146" i="7"/>
  <c r="E129" i="7"/>
  <c r="F129" i="7"/>
  <c r="F118" i="7"/>
  <c r="E62" i="7"/>
  <c r="G203" i="7"/>
  <c r="E64" i="7"/>
  <c r="E116" i="7"/>
  <c r="E78" i="7"/>
  <c r="G60" i="7"/>
  <c r="E221" i="7"/>
  <c r="E72" i="7"/>
  <c r="G62" i="7"/>
  <c r="E171" i="7"/>
  <c r="E150" i="7"/>
  <c r="G129" i="7"/>
  <c r="G145" i="7"/>
  <c r="G207" i="7"/>
  <c r="G169" i="7"/>
  <c r="G79" i="7"/>
  <c r="G106" i="7"/>
  <c r="F100" i="7"/>
  <c r="E154" i="7"/>
  <c r="G72" i="7"/>
  <c r="E42" i="7"/>
  <c r="G171" i="7"/>
  <c r="E146" i="7"/>
  <c r="G150" i="7"/>
  <c r="E118" i="7"/>
  <c r="G100" i="7"/>
  <c r="F211" i="7"/>
  <c r="F196" i="7"/>
  <c r="F222" i="7"/>
  <c r="F80" i="7"/>
  <c r="F170" i="7"/>
  <c r="F203" i="7"/>
  <c r="E100" i="7"/>
  <c r="F64" i="7"/>
  <c r="F116" i="7"/>
  <c r="F78" i="7"/>
  <c r="F221" i="7"/>
  <c r="F72" i="7"/>
  <c r="F171" i="7"/>
  <c r="F150" i="7"/>
  <c r="G64" i="7"/>
  <c r="E155" i="7"/>
  <c r="G116" i="7"/>
  <c r="E35" i="7"/>
  <c r="G78" i="7"/>
  <c r="E66" i="7"/>
  <c r="E220" i="7"/>
  <c r="G221" i="7"/>
  <c r="E114" i="7"/>
  <c r="E211" i="7"/>
  <c r="E196" i="7"/>
  <c r="G155" i="7"/>
  <c r="E222" i="7"/>
  <c r="G35" i="7"/>
  <c r="E80" i="7"/>
  <c r="G66" i="7"/>
  <c r="G220" i="7"/>
  <c r="E170" i="7"/>
  <c r="G114" i="7"/>
  <c r="G154" i="7"/>
  <c r="E203" i="7"/>
  <c r="G42" i="7"/>
  <c r="G146" i="7"/>
  <c r="G118" i="7"/>
  <c r="S6" i="6"/>
  <c r="K88" i="7" s="1"/>
  <c r="S145" i="6"/>
  <c r="K124" i="7" s="1"/>
  <c r="S132" i="6"/>
  <c r="K86" i="7" s="1"/>
  <c r="S211" i="6"/>
  <c r="K87" i="7" s="1"/>
  <c r="S131" i="6"/>
  <c r="K122" i="7" s="1"/>
  <c r="S147" i="6"/>
  <c r="K231" i="7" s="1"/>
  <c r="S195" i="6"/>
  <c r="S126" i="6"/>
  <c r="K175" i="7" s="1"/>
  <c r="S146" i="6"/>
  <c r="K125" i="7" s="1"/>
  <c r="S111" i="6"/>
  <c r="S127" i="6"/>
  <c r="K228" i="7" s="1"/>
  <c r="R191" i="1" l="1"/>
  <c r="Y203" i="1"/>
  <c r="Z203" i="1"/>
  <c r="S203" i="1"/>
  <c r="Y227" i="1"/>
  <c r="Z227" i="1"/>
  <c r="Y234" i="1" l="1"/>
  <c r="Z234" i="1"/>
  <c r="Y223" i="1"/>
  <c r="Z223" i="1"/>
  <c r="Y222" i="1"/>
  <c r="Z222" i="1"/>
  <c r="Y199" i="1"/>
  <c r="Z199" i="1"/>
  <c r="Z190" i="1"/>
  <c r="Y190" i="1"/>
  <c r="Z38" i="1"/>
  <c r="Y38" i="1"/>
  <c r="U38" i="1"/>
  <c r="Y60" i="1"/>
  <c r="Z60" i="1"/>
  <c r="AB60" i="1" s="1"/>
  <c r="Z59" i="1"/>
  <c r="AB59" i="1" s="1"/>
  <c r="Y59" i="1"/>
  <c r="U59" i="1"/>
  <c r="AA59" i="1" l="1"/>
  <c r="AA38" i="1"/>
  <c r="AB38" i="1"/>
  <c r="Y233" i="1"/>
  <c r="Z233" i="1"/>
  <c r="S223" i="1" l="1"/>
  <c r="U197" i="1"/>
  <c r="Y197" i="1"/>
  <c r="Z197" i="1"/>
  <c r="S37" i="1"/>
  <c r="Y37" i="1"/>
  <c r="Z37" i="1"/>
  <c r="S173" i="1"/>
  <c r="U173" i="1"/>
  <c r="Y173" i="1"/>
  <c r="Z173" i="1"/>
  <c r="Y123" i="1"/>
  <c r="Z123" i="1"/>
  <c r="AA197" i="1" l="1"/>
  <c r="AB197" i="1"/>
  <c r="AB173" i="1"/>
  <c r="AA173" i="1"/>
  <c r="Y136" i="1"/>
  <c r="Z136" i="1"/>
  <c r="S123" i="1"/>
  <c r="S122" i="1"/>
  <c r="Y117" i="1"/>
  <c r="Z117" i="1"/>
  <c r="G131" i="7" l="1"/>
  <c r="G111" i="7"/>
  <c r="G214" i="7"/>
  <c r="G39" i="7"/>
  <c r="J4" i="6"/>
  <c r="K4" i="6"/>
  <c r="L4" i="6"/>
  <c r="D153" i="7"/>
  <c r="G126" i="7"/>
  <c r="G97" i="7"/>
  <c r="G182" i="7"/>
  <c r="G76" i="7"/>
  <c r="G128" i="7"/>
  <c r="G195" i="7"/>
  <c r="F209" i="7"/>
  <c r="F12" i="7"/>
  <c r="F216" i="7"/>
  <c r="F147" i="7"/>
  <c r="G147" i="7"/>
  <c r="F46" i="7"/>
  <c r="Z58" i="1"/>
  <c r="AB58" i="1" s="1"/>
  <c r="Y58" i="1"/>
  <c r="S58" i="1"/>
  <c r="D46" i="4"/>
  <c r="Z232" i="1"/>
  <c r="Y232" i="1"/>
  <c r="U231" i="1"/>
  <c r="U230" i="1"/>
  <c r="Z231" i="1"/>
  <c r="Y231" i="1"/>
  <c r="Z230" i="1"/>
  <c r="Y230" i="1"/>
  <c r="U170" i="1"/>
  <c r="Z196" i="1"/>
  <c r="Y196" i="1"/>
  <c r="U196" i="1"/>
  <c r="U200" i="1"/>
  <c r="U204" i="1"/>
  <c r="U224" i="1"/>
  <c r="Z228" i="1"/>
  <c r="AB228" i="1" s="1"/>
  <c r="Y228" i="1"/>
  <c r="AA228" i="1" s="1"/>
  <c r="Z226" i="1"/>
  <c r="D42" i="4"/>
  <c r="Z170" i="1"/>
  <c r="Y170" i="1"/>
  <c r="U198" i="1"/>
  <c r="U195" i="1"/>
  <c r="S189" i="1"/>
  <c r="S192" i="1"/>
  <c r="U185" i="1"/>
  <c r="U181" i="1"/>
  <c r="U182" i="1"/>
  <c r="U194" i="1"/>
  <c r="U186" i="1"/>
  <c r="U206" i="1"/>
  <c r="U207" i="1"/>
  <c r="U212" i="1"/>
  <c r="U213" i="1"/>
  <c r="U219" i="1"/>
  <c r="U220" i="1"/>
  <c r="S186" i="1"/>
  <c r="S187" i="1"/>
  <c r="S188" i="1"/>
  <c r="S193" i="1"/>
  <c r="S201" i="1"/>
  <c r="S206" i="1"/>
  <c r="S207" i="1"/>
  <c r="S208" i="1"/>
  <c r="S209" i="1"/>
  <c r="S210" i="1"/>
  <c r="S211" i="1"/>
  <c r="S212" i="1"/>
  <c r="S213" i="1"/>
  <c r="S214" i="1"/>
  <c r="S215" i="1"/>
  <c r="S216" i="1"/>
  <c r="S217" i="1"/>
  <c r="S218" i="1"/>
  <c r="S219" i="1"/>
  <c r="S220" i="1"/>
  <c r="S221" i="1"/>
  <c r="S225" i="1"/>
  <c r="S226" i="1"/>
  <c r="S229" i="1"/>
  <c r="S183" i="1"/>
  <c r="S184" i="1"/>
  <c r="U184" i="1"/>
  <c r="U179" i="1"/>
  <c r="Z36" i="1"/>
  <c r="Y36" i="1"/>
  <c r="S36" i="1"/>
  <c r="D40" i="4"/>
  <c r="Z140" i="1"/>
  <c r="Y140" i="1"/>
  <c r="Z174" i="1"/>
  <c r="Z175" i="1"/>
  <c r="Z176" i="1"/>
  <c r="Z177" i="1"/>
  <c r="Z178" i="1"/>
  <c r="Z179" i="1"/>
  <c r="Z180" i="1"/>
  <c r="Z181" i="1"/>
  <c r="Z182" i="1"/>
  <c r="Z183" i="1"/>
  <c r="Z184" i="1"/>
  <c r="Z185" i="1"/>
  <c r="Z186" i="1"/>
  <c r="Z187" i="1"/>
  <c r="Z188" i="1"/>
  <c r="Z189" i="1"/>
  <c r="Z191" i="1"/>
  <c r="Z192" i="1"/>
  <c r="Z193" i="1"/>
  <c r="Z194" i="1"/>
  <c r="Z195" i="1"/>
  <c r="Z198" i="1"/>
  <c r="Z200" i="1"/>
  <c r="Z201" i="1"/>
  <c r="Z202" i="1"/>
  <c r="AB202" i="1" s="1"/>
  <c r="Z204" i="1"/>
  <c r="Z205" i="1"/>
  <c r="Z206" i="1"/>
  <c r="Z207" i="1"/>
  <c r="Z208" i="1"/>
  <c r="Z209" i="1"/>
  <c r="Z210" i="1"/>
  <c r="Z211" i="1"/>
  <c r="Z212" i="1"/>
  <c r="Z213" i="1"/>
  <c r="Z214" i="1"/>
  <c r="Z215" i="1"/>
  <c r="Z216" i="1"/>
  <c r="Z217" i="1"/>
  <c r="Z218" i="1"/>
  <c r="Z219" i="1"/>
  <c r="Z220" i="1"/>
  <c r="Z221" i="1"/>
  <c r="Z224" i="1"/>
  <c r="Z225" i="1"/>
  <c r="Z229" i="1"/>
  <c r="Y178" i="1"/>
  <c r="Y179" i="1"/>
  <c r="Y180" i="1"/>
  <c r="Y181" i="1"/>
  <c r="Y182" i="1"/>
  <c r="Y183" i="1"/>
  <c r="Y184" i="1"/>
  <c r="Y185" i="1"/>
  <c r="Y186" i="1"/>
  <c r="Y187" i="1"/>
  <c r="Y188" i="1"/>
  <c r="Y189" i="1"/>
  <c r="Y191" i="1"/>
  <c r="Y192" i="1"/>
  <c r="Y193" i="1"/>
  <c r="Y194" i="1"/>
  <c r="Y195" i="1"/>
  <c r="Y198" i="1"/>
  <c r="Y200" i="1"/>
  <c r="Y201" i="1"/>
  <c r="Y202" i="1"/>
  <c r="Y204" i="1"/>
  <c r="Y205" i="1"/>
  <c r="Y206" i="1"/>
  <c r="Y207" i="1"/>
  <c r="Y208" i="1"/>
  <c r="Y209" i="1"/>
  <c r="Y210" i="1"/>
  <c r="Y211" i="1"/>
  <c r="Y212" i="1"/>
  <c r="Y213" i="1"/>
  <c r="Y214" i="1"/>
  <c r="Y215" i="1"/>
  <c r="Y216" i="1"/>
  <c r="Y217" i="1"/>
  <c r="Y218" i="1"/>
  <c r="Y219" i="1"/>
  <c r="Y220" i="1"/>
  <c r="Y221" i="1"/>
  <c r="Y224" i="1"/>
  <c r="Y225" i="1"/>
  <c r="Y226" i="1"/>
  <c r="Y229" i="1"/>
  <c r="Y174" i="1"/>
  <c r="Y175" i="1"/>
  <c r="Y176" i="1"/>
  <c r="Y177" i="1"/>
  <c r="S176" i="1"/>
  <c r="S178" i="1"/>
  <c r="S181" i="1"/>
  <c r="S171" i="1"/>
  <c r="S172" i="1"/>
  <c r="S174" i="1"/>
  <c r="S175" i="1"/>
  <c r="Z172" i="1"/>
  <c r="Y172" i="1"/>
  <c r="D39" i="4"/>
  <c r="D38" i="4"/>
  <c r="Z171" i="1"/>
  <c r="Y171" i="1"/>
  <c r="S43" i="1"/>
  <c r="Y43" i="1"/>
  <c r="Z43" i="1"/>
  <c r="S18" i="1"/>
  <c r="Y18" i="1"/>
  <c r="Z18" i="1"/>
  <c r="U161" i="1"/>
  <c r="Y87" i="1"/>
  <c r="U142" i="1"/>
  <c r="U143" i="1"/>
  <c r="U144" i="1"/>
  <c r="U145" i="1"/>
  <c r="U146" i="1"/>
  <c r="U147" i="1"/>
  <c r="U149" i="1"/>
  <c r="U151" i="1"/>
  <c r="U152" i="1"/>
  <c r="U153" i="1"/>
  <c r="U157" i="1"/>
  <c r="U158" i="1"/>
  <c r="U159" i="1"/>
  <c r="U160" i="1"/>
  <c r="U164" i="1"/>
  <c r="U165" i="1"/>
  <c r="U138" i="1"/>
  <c r="U141" i="1"/>
  <c r="U134" i="1"/>
  <c r="U135" i="1"/>
  <c r="U133" i="1"/>
  <c r="S164" i="1"/>
  <c r="S166" i="1"/>
  <c r="S167" i="1"/>
  <c r="S168" i="1"/>
  <c r="S169" i="1"/>
  <c r="S160" i="1"/>
  <c r="S162" i="1"/>
  <c r="S163" i="1"/>
  <c r="S154" i="1"/>
  <c r="S155" i="1"/>
  <c r="S156" i="1"/>
  <c r="S157" i="1"/>
  <c r="S158" i="1"/>
  <c r="S159" i="1"/>
  <c r="S149" i="1"/>
  <c r="S150" i="1"/>
  <c r="S151" i="1"/>
  <c r="S152" i="1"/>
  <c r="S153" i="1"/>
  <c r="S144" i="1"/>
  <c r="S145" i="1"/>
  <c r="S146" i="1"/>
  <c r="S147" i="1"/>
  <c r="S148" i="1"/>
  <c r="S138" i="1"/>
  <c r="S139" i="1"/>
  <c r="S141" i="1"/>
  <c r="S142" i="1"/>
  <c r="S143" i="1"/>
  <c r="S134" i="1"/>
  <c r="S135" i="1"/>
  <c r="S137" i="1"/>
  <c r="S133" i="1"/>
  <c r="Z166" i="1"/>
  <c r="Z167" i="1"/>
  <c r="Z168" i="1"/>
  <c r="Z169" i="1"/>
  <c r="Z162" i="1"/>
  <c r="Z163" i="1"/>
  <c r="Z164" i="1"/>
  <c r="Z165" i="1"/>
  <c r="Z161" i="1"/>
  <c r="Z158" i="1"/>
  <c r="Z159" i="1"/>
  <c r="Z160" i="1"/>
  <c r="Z152" i="1"/>
  <c r="Z153" i="1"/>
  <c r="Z154" i="1"/>
  <c r="Z155" i="1"/>
  <c r="Z156" i="1"/>
  <c r="Z157" i="1"/>
  <c r="Z148" i="1"/>
  <c r="Z149" i="1"/>
  <c r="Z150" i="1"/>
  <c r="Z151" i="1"/>
  <c r="Z146" i="1"/>
  <c r="Z147" i="1"/>
  <c r="Z142" i="1"/>
  <c r="Z143" i="1"/>
  <c r="Z144" i="1"/>
  <c r="Z145" i="1"/>
  <c r="Z137" i="1"/>
  <c r="Z138" i="1"/>
  <c r="Z139" i="1"/>
  <c r="Z141" i="1"/>
  <c r="Z134" i="1"/>
  <c r="Z135" i="1"/>
  <c r="Z133" i="1"/>
  <c r="Z132" i="1"/>
  <c r="Y167" i="1"/>
  <c r="Y168" i="1"/>
  <c r="Y169" i="1"/>
  <c r="Y163" i="1"/>
  <c r="Y164" i="1"/>
  <c r="Y165" i="1"/>
  <c r="Y166" i="1"/>
  <c r="Y158" i="1"/>
  <c r="Y159" i="1"/>
  <c r="Y160" i="1"/>
  <c r="Y161" i="1"/>
  <c r="Y162" i="1"/>
  <c r="Y152" i="1"/>
  <c r="Y153" i="1"/>
  <c r="Y154" i="1"/>
  <c r="Y155" i="1"/>
  <c r="Y156" i="1"/>
  <c r="Y157" i="1"/>
  <c r="Y148" i="1"/>
  <c r="Y149" i="1"/>
  <c r="Y150" i="1"/>
  <c r="Y151" i="1"/>
  <c r="Y143" i="1"/>
  <c r="Y144" i="1"/>
  <c r="Y145" i="1"/>
  <c r="Y146" i="1"/>
  <c r="Y147" i="1"/>
  <c r="Y137" i="1"/>
  <c r="Y138" i="1"/>
  <c r="Y139" i="1"/>
  <c r="Y141" i="1"/>
  <c r="Y142" i="1"/>
  <c r="Y134" i="1"/>
  <c r="Y135" i="1"/>
  <c r="Y133" i="1"/>
  <c r="S116" i="1"/>
  <c r="T140" i="1" l="1"/>
  <c r="U140" i="1" s="1"/>
  <c r="T222" i="1"/>
  <c r="T227" i="1"/>
  <c r="T37" i="1"/>
  <c r="T60" i="1"/>
  <c r="T117" i="1"/>
  <c r="T199" i="1"/>
  <c r="T202" i="1"/>
  <c r="T180" i="1"/>
  <c r="T205" i="1"/>
  <c r="T177" i="1"/>
  <c r="T190" i="1"/>
  <c r="R9" i="6"/>
  <c r="R10" i="6"/>
  <c r="R11" i="6"/>
  <c r="R12" i="6"/>
  <c r="R21" i="6"/>
  <c r="R31" i="6"/>
  <c r="R5" i="6"/>
  <c r="Q5" i="6"/>
  <c r="Q9" i="6"/>
  <c r="Q10" i="6"/>
  <c r="Q11" i="6"/>
  <c r="Q12" i="6"/>
  <c r="Q21" i="6"/>
  <c r="Q31" i="6"/>
  <c r="P5" i="6"/>
  <c r="S5" i="6" s="1"/>
  <c r="K235" i="7" s="1"/>
  <c r="P9" i="6"/>
  <c r="S9" i="6" s="1"/>
  <c r="K176" i="7" s="1"/>
  <c r="P10" i="6"/>
  <c r="S10" i="6" s="1"/>
  <c r="K177" i="7" s="1"/>
  <c r="P11" i="6"/>
  <c r="S11" i="6" s="1"/>
  <c r="K90" i="7" s="1"/>
  <c r="S12" i="6"/>
  <c r="K91" i="7" s="1"/>
  <c r="P21" i="6"/>
  <c r="S21" i="6" s="1"/>
  <c r="K89" i="7" s="1"/>
  <c r="P31" i="6"/>
  <c r="S31" i="6" s="1"/>
  <c r="K128" i="7" s="1"/>
  <c r="Q133" i="6"/>
  <c r="Q196" i="6"/>
  <c r="Q161" i="6"/>
  <c r="Q212" i="6"/>
  <c r="Q173" i="6"/>
  <c r="Q225" i="6"/>
  <c r="Q80" i="6"/>
  <c r="Q140" i="6"/>
  <c r="Q112" i="6"/>
  <c r="Q128" i="6"/>
  <c r="Q229" i="6"/>
  <c r="Q148" i="6"/>
  <c r="Q32" i="6"/>
  <c r="Q232" i="6"/>
  <c r="Q184" i="6"/>
  <c r="P32" i="6"/>
  <c r="P196" i="6"/>
  <c r="P80" i="6"/>
  <c r="P133" i="6"/>
  <c r="P212" i="6"/>
  <c r="P184" i="6"/>
  <c r="P161" i="6"/>
  <c r="P173" i="6"/>
  <c r="P232" i="6"/>
  <c r="P128" i="6"/>
  <c r="P148" i="6"/>
  <c r="P225" i="6"/>
  <c r="P112" i="6"/>
  <c r="P140" i="6"/>
  <c r="P229" i="6"/>
  <c r="R4" i="6"/>
  <c r="J178" i="7" s="1"/>
  <c r="R212" i="6"/>
  <c r="R173" i="6"/>
  <c r="R112" i="6"/>
  <c r="R232" i="6"/>
  <c r="R32" i="6"/>
  <c r="R80" i="6"/>
  <c r="R128" i="6"/>
  <c r="R229" i="6"/>
  <c r="R196" i="6"/>
  <c r="R133" i="6"/>
  <c r="R225" i="6"/>
  <c r="R140" i="6"/>
  <c r="R184" i="6"/>
  <c r="R161" i="6"/>
  <c r="R148" i="6"/>
  <c r="P4" i="6"/>
  <c r="H178" i="7" s="1"/>
  <c r="P37" i="6"/>
  <c r="P23" i="6"/>
  <c r="H130" i="7" s="1"/>
  <c r="P35" i="6"/>
  <c r="P59" i="6"/>
  <c r="P19" i="6"/>
  <c r="P15" i="6"/>
  <c r="P29" i="6"/>
  <c r="P13" i="6"/>
  <c r="P46" i="6"/>
  <c r="P49" i="6"/>
  <c r="P213" i="6"/>
  <c r="P155" i="6"/>
  <c r="P206" i="6"/>
  <c r="P119" i="6"/>
  <c r="P60" i="6"/>
  <c r="P141" i="6"/>
  <c r="P163" i="6"/>
  <c r="P153" i="6"/>
  <c r="P93" i="6"/>
  <c r="P44" i="6"/>
  <c r="P108" i="6"/>
  <c r="P178" i="6"/>
  <c r="P85" i="6"/>
  <c r="P16" i="6"/>
  <c r="P36" i="6"/>
  <c r="P75" i="6"/>
  <c r="P106" i="6"/>
  <c r="P45" i="6"/>
  <c r="P144" i="6"/>
  <c r="P97" i="6"/>
  <c r="P63" i="6"/>
  <c r="P92" i="6"/>
  <c r="P159" i="6"/>
  <c r="P208" i="6"/>
  <c r="P175" i="6"/>
  <c r="P214" i="6"/>
  <c r="P226" i="6"/>
  <c r="P228" i="6"/>
  <c r="P17" i="6"/>
  <c r="P98" i="6"/>
  <c r="P160" i="6"/>
  <c r="P209" i="6"/>
  <c r="P139" i="6"/>
  <c r="P199" i="6"/>
  <c r="P116" i="6"/>
  <c r="P58" i="6"/>
  <c r="P125" i="6"/>
  <c r="P115" i="6"/>
  <c r="P150" i="6"/>
  <c r="P84" i="6"/>
  <c r="P74" i="6"/>
  <c r="P124" i="6"/>
  <c r="P162" i="6"/>
  <c r="P18" i="6"/>
  <c r="P38" i="6"/>
  <c r="P76" i="6"/>
  <c r="P90" i="6"/>
  <c r="P156" i="6"/>
  <c r="P14" i="6"/>
  <c r="P190" i="6"/>
  <c r="P222" i="6"/>
  <c r="P224" i="6"/>
  <c r="P25" i="6"/>
  <c r="H168" i="7" s="1"/>
  <c r="P194" i="6"/>
  <c r="P99" i="6"/>
  <c r="P207" i="6"/>
  <c r="P123" i="6"/>
  <c r="P183" i="6"/>
  <c r="P103" i="6"/>
  <c r="P56" i="6"/>
  <c r="P109" i="6"/>
  <c r="H170" i="7" s="1"/>
  <c r="P201" i="6"/>
  <c r="P137" i="6"/>
  <c r="P197" i="6"/>
  <c r="P82" i="6"/>
  <c r="P130" i="6"/>
  <c r="P20" i="6"/>
  <c r="P40" i="6"/>
  <c r="P79" i="6"/>
  <c r="P122" i="6"/>
  <c r="P8" i="6"/>
  <c r="P95" i="6"/>
  <c r="P168" i="6"/>
  <c r="P69" i="6"/>
  <c r="P170" i="6"/>
  <c r="P43" i="6"/>
  <c r="P202" i="6"/>
  <c r="P27" i="6"/>
  <c r="H186" i="7" s="1"/>
  <c r="P174" i="6"/>
  <c r="P223" i="6"/>
  <c r="P205" i="6"/>
  <c r="P107" i="6"/>
  <c r="P180" i="6"/>
  <c r="P94" i="6"/>
  <c r="P54" i="6"/>
  <c r="P96" i="6"/>
  <c r="P198" i="6"/>
  <c r="P134" i="6"/>
  <c r="P181" i="6"/>
  <c r="P55" i="6"/>
  <c r="P83" i="6"/>
  <c r="P138" i="6"/>
  <c r="P61" i="6"/>
  <c r="P22" i="6"/>
  <c r="P42" i="6"/>
  <c r="P57" i="6"/>
  <c r="P7" i="6"/>
  <c r="P114" i="6"/>
  <c r="P158" i="6"/>
  <c r="P221" i="6"/>
  <c r="P230" i="6"/>
  <c r="P193" i="6"/>
  <c r="P167" i="6"/>
  <c r="P87" i="6"/>
  <c r="P52" i="6"/>
  <c r="P89" i="6"/>
  <c r="P185" i="6"/>
  <c r="P121" i="6"/>
  <c r="P165" i="6"/>
  <c r="P143" i="6"/>
  <c r="P104" i="6"/>
  <c r="P24" i="6"/>
  <c r="H151" i="7" s="1"/>
  <c r="P66" i="6"/>
  <c r="P88" i="6"/>
  <c r="P142" i="6"/>
  <c r="P110" i="6"/>
  <c r="P191" i="6"/>
  <c r="P48" i="6"/>
  <c r="P33" i="6"/>
  <c r="P81" i="6"/>
  <c r="P219" i="6"/>
  <c r="P203" i="6"/>
  <c r="P177" i="6"/>
  <c r="P164" i="6"/>
  <c r="P78" i="6"/>
  <c r="P50" i="6"/>
  <c r="P73" i="6"/>
  <c r="P182" i="6"/>
  <c r="P118" i="6"/>
  <c r="P149" i="6"/>
  <c r="P192" i="6"/>
  <c r="P68" i="6"/>
  <c r="P120" i="6"/>
  <c r="P26" i="6"/>
  <c r="H94" i="7" s="1"/>
  <c r="P67" i="6"/>
  <c r="P204" i="6"/>
  <c r="P186" i="6"/>
  <c r="H118" i="7" s="1"/>
  <c r="P53" i="6"/>
  <c r="P154" i="6"/>
  <c r="P220" i="6"/>
  <c r="P216" i="6"/>
  <c r="P39" i="6"/>
  <c r="P86" i="6"/>
  <c r="P28" i="6"/>
  <c r="P102" i="6"/>
  <c r="P136" i="6"/>
  <c r="P217" i="6"/>
  <c r="P187" i="6"/>
  <c r="P129" i="6"/>
  <c r="P151" i="6"/>
  <c r="P71" i="6"/>
  <c r="P189" i="6"/>
  <c r="P64" i="6"/>
  <c r="P169" i="6"/>
  <c r="P105" i="6"/>
  <c r="P117" i="6"/>
  <c r="P65" i="6"/>
  <c r="P47" i="6"/>
  <c r="P30" i="6"/>
  <c r="P51" i="6"/>
  <c r="P70" i="6"/>
  <c r="P172" i="6"/>
  <c r="P218" i="6"/>
  <c r="P157" i="6"/>
  <c r="P77" i="6"/>
  <c r="P227" i="6"/>
  <c r="P179" i="6"/>
  <c r="P231" i="6"/>
  <c r="P72" i="6"/>
  <c r="P210" i="6"/>
  <c r="P166" i="6"/>
  <c r="P91" i="6"/>
  <c r="P215" i="6"/>
  <c r="P100" i="6"/>
  <c r="P34" i="6"/>
  <c r="P171" i="6"/>
  <c r="P113" i="6"/>
  <c r="P135" i="6"/>
  <c r="P101" i="6"/>
  <c r="P152" i="6"/>
  <c r="P41" i="6"/>
  <c r="P62" i="6"/>
  <c r="P176" i="6"/>
  <c r="P188" i="6"/>
  <c r="P200" i="6"/>
  <c r="R14" i="6"/>
  <c r="R16" i="6"/>
  <c r="R19" i="6"/>
  <c r="R151" i="6"/>
  <c r="R156" i="6"/>
  <c r="R227" i="6"/>
  <c r="R188" i="6"/>
  <c r="R71" i="6"/>
  <c r="R53" i="6"/>
  <c r="R58" i="6"/>
  <c r="R86" i="6"/>
  <c r="R160" i="6"/>
  <c r="R214" i="6"/>
  <c r="R194" i="6"/>
  <c r="R220" i="6"/>
  <c r="R99" i="6"/>
  <c r="R125" i="6"/>
  <c r="R189" i="6"/>
  <c r="R155" i="6"/>
  <c r="R217" i="6"/>
  <c r="R219" i="6"/>
  <c r="R159" i="6"/>
  <c r="R185" i="6"/>
  <c r="R22" i="6"/>
  <c r="R35" i="6"/>
  <c r="R38" i="6"/>
  <c r="R26" i="6"/>
  <c r="J94" i="7" s="1"/>
  <c r="R15" i="6"/>
  <c r="R17" i="6"/>
  <c r="R50" i="6"/>
  <c r="R56" i="6"/>
  <c r="R230" i="6"/>
  <c r="R48" i="6"/>
  <c r="R42" i="6"/>
  <c r="R90" i="6"/>
  <c r="R59" i="6"/>
  <c r="R116" i="6"/>
  <c r="R69" i="6"/>
  <c r="R49" i="6"/>
  <c r="R164" i="6"/>
  <c r="R228" i="6"/>
  <c r="R144" i="6"/>
  <c r="R100" i="6"/>
  <c r="R178" i="6"/>
  <c r="R72" i="6"/>
  <c r="R113" i="6"/>
  <c r="R181" i="6"/>
  <c r="R221" i="6"/>
  <c r="R23" i="6"/>
  <c r="J130" i="7" s="1"/>
  <c r="R39" i="6"/>
  <c r="R27" i="6"/>
  <c r="J186" i="7" s="1"/>
  <c r="R28" i="6"/>
  <c r="R51" i="6"/>
  <c r="R57" i="6"/>
  <c r="R231" i="6"/>
  <c r="R83" i="6"/>
  <c r="R168" i="6"/>
  <c r="R44" i="6"/>
  <c r="R106" i="6"/>
  <c r="R218" i="6"/>
  <c r="R98" i="6"/>
  <c r="R93" i="6"/>
  <c r="R162" i="6"/>
  <c r="R110" i="6"/>
  <c r="R193" i="6"/>
  <c r="R107" i="6"/>
  <c r="R171" i="6"/>
  <c r="R175" i="6"/>
  <c r="R137" i="6"/>
  <c r="R115" i="6"/>
  <c r="R7" i="6"/>
  <c r="R29" i="6"/>
  <c r="R18" i="6"/>
  <c r="R74" i="6"/>
  <c r="R199" i="6"/>
  <c r="R104" i="6"/>
  <c r="R92" i="6"/>
  <c r="R174" i="6"/>
  <c r="R64" i="6"/>
  <c r="R138" i="6"/>
  <c r="R103" i="6"/>
  <c r="R180" i="6"/>
  <c r="R108" i="6"/>
  <c r="R182" i="6"/>
  <c r="R206" i="6"/>
  <c r="R91" i="6"/>
  <c r="R84" i="6"/>
  <c r="R130" i="6"/>
  <c r="R47" i="6"/>
  <c r="R215" i="6"/>
  <c r="R141" i="6"/>
  <c r="R205" i="6"/>
  <c r="R117" i="6"/>
  <c r="R197" i="6"/>
  <c r="R24" i="6"/>
  <c r="J151" i="7" s="1"/>
  <c r="R30" i="6"/>
  <c r="R79" i="6"/>
  <c r="R65" i="6"/>
  <c r="R62" i="6"/>
  <c r="R43" i="6"/>
  <c r="R46" i="6"/>
  <c r="R76" i="6"/>
  <c r="R122" i="6"/>
  <c r="R183" i="6"/>
  <c r="R216" i="6"/>
  <c r="R82" i="6"/>
  <c r="R77" i="6"/>
  <c r="R114" i="6"/>
  <c r="R136" i="6"/>
  <c r="R209" i="6"/>
  <c r="R129" i="6"/>
  <c r="R123" i="6"/>
  <c r="R187" i="6"/>
  <c r="R191" i="6"/>
  <c r="R105" i="6"/>
  <c r="R213" i="6"/>
  <c r="R163" i="6"/>
  <c r="R36" i="6"/>
  <c r="R25" i="6"/>
  <c r="J168" i="7" s="1"/>
  <c r="R8" i="6"/>
  <c r="R200" i="6"/>
  <c r="R20" i="6"/>
  <c r="R120" i="6"/>
  <c r="R190" i="6"/>
  <c r="R170" i="6"/>
  <c r="R63" i="6"/>
  <c r="R222" i="6"/>
  <c r="R152" i="6"/>
  <c r="R118" i="6"/>
  <c r="R54" i="6"/>
  <c r="R87" i="6"/>
  <c r="R124" i="6"/>
  <c r="R210" i="6"/>
  <c r="R75" i="6"/>
  <c r="R68" i="6"/>
  <c r="R97" i="6"/>
  <c r="R157" i="6"/>
  <c r="R207" i="6"/>
  <c r="R143" i="6"/>
  <c r="R153" i="6"/>
  <c r="R37" i="6"/>
  <c r="R34" i="6"/>
  <c r="R40" i="6"/>
  <c r="R33" i="6"/>
  <c r="R94" i="6"/>
  <c r="R202" i="6"/>
  <c r="R172" i="6"/>
  <c r="R96" i="6"/>
  <c r="R158" i="6"/>
  <c r="R198" i="6"/>
  <c r="R134" i="6"/>
  <c r="R70" i="6"/>
  <c r="R101" i="6"/>
  <c r="R119" i="6"/>
  <c r="R55" i="6"/>
  <c r="R142" i="6"/>
  <c r="R192" i="6"/>
  <c r="R66" i="6"/>
  <c r="R208" i="6"/>
  <c r="R88" i="6"/>
  <c r="R60" i="6"/>
  <c r="R89" i="6"/>
  <c r="R166" i="6"/>
  <c r="R109" i="6"/>
  <c r="R139" i="6"/>
  <c r="R149" i="6"/>
  <c r="R154" i="6"/>
  <c r="R176" i="6"/>
  <c r="R61" i="6"/>
  <c r="R223" i="6"/>
  <c r="R67" i="6"/>
  <c r="R73" i="6"/>
  <c r="R204" i="6"/>
  <c r="R135" i="6"/>
  <c r="R85" i="6"/>
  <c r="R226" i="6"/>
  <c r="R169" i="6"/>
  <c r="R165" i="6"/>
  <c r="R41" i="6"/>
  <c r="R186" i="6"/>
  <c r="R78" i="6"/>
  <c r="R224" i="6"/>
  <c r="R201" i="6"/>
  <c r="R150" i="6"/>
  <c r="R177" i="6"/>
  <c r="R13" i="6"/>
  <c r="R81" i="6"/>
  <c r="R203" i="6"/>
  <c r="R45" i="6"/>
  <c r="R102" i="6"/>
  <c r="R167" i="6"/>
  <c r="R121" i="6"/>
  <c r="R179" i="6"/>
  <c r="R95" i="6"/>
  <c r="J116" i="7" s="1"/>
  <c r="R52" i="6"/>
  <c r="Q4" i="6"/>
  <c r="I178" i="7" s="1"/>
  <c r="Q43" i="6"/>
  <c r="Q39" i="6"/>
  <c r="Q42" i="6"/>
  <c r="Q35" i="6"/>
  <c r="Q96" i="6"/>
  <c r="Q221" i="6"/>
  <c r="Q222" i="6"/>
  <c r="Q142" i="6"/>
  <c r="Q199" i="6"/>
  <c r="Q116" i="6"/>
  <c r="Q189" i="6"/>
  <c r="Q122" i="6"/>
  <c r="Q192" i="6"/>
  <c r="Q91" i="6"/>
  <c r="Q182" i="6"/>
  <c r="Q118" i="6"/>
  <c r="Q175" i="6"/>
  <c r="Q95" i="6"/>
  <c r="Q168" i="6"/>
  <c r="Q104" i="6"/>
  <c r="Q149" i="6"/>
  <c r="Q65" i="6"/>
  <c r="Q63" i="6"/>
  <c r="Q231" i="6"/>
  <c r="Q33" i="6"/>
  <c r="Q178" i="6"/>
  <c r="Q17" i="6"/>
  <c r="Q219" i="6"/>
  <c r="Q220" i="6"/>
  <c r="Q129" i="6"/>
  <c r="Q183" i="6"/>
  <c r="I150" i="7" s="1"/>
  <c r="Q103" i="6"/>
  <c r="S103" i="6" s="1"/>
  <c r="Q186" i="6"/>
  <c r="Q109" i="6"/>
  <c r="Q179" i="6"/>
  <c r="Q82" i="6"/>
  <c r="Q169" i="6"/>
  <c r="Q105" i="6"/>
  <c r="Q172" i="6"/>
  <c r="S172" i="6" s="1"/>
  <c r="K120" i="7" s="1"/>
  <c r="Q86" i="6"/>
  <c r="Q155" i="6"/>
  <c r="S155" i="6" s="1"/>
  <c r="K195" i="7" s="1"/>
  <c r="Q99" i="6"/>
  <c r="Q55" i="6"/>
  <c r="Q8" i="6"/>
  <c r="Q68" i="6"/>
  <c r="Q97" i="6"/>
  <c r="Q37" i="6"/>
  <c r="Q36" i="6"/>
  <c r="Q162" i="6"/>
  <c r="Q19" i="6"/>
  <c r="S19" i="6" s="1"/>
  <c r="K111" i="7" s="1"/>
  <c r="Q52" i="6"/>
  <c r="Q217" i="6"/>
  <c r="Q218" i="6"/>
  <c r="Q113" i="6"/>
  <c r="Q180" i="6"/>
  <c r="Q87" i="6"/>
  <c r="Q170" i="6"/>
  <c r="Q106" i="6"/>
  <c r="Q176" i="6"/>
  <c r="Q75" i="6"/>
  <c r="Q166" i="6"/>
  <c r="Q93" i="6"/>
  <c r="Q159" i="6"/>
  <c r="Q79" i="6"/>
  <c r="Q152" i="6"/>
  <c r="Q83" i="6"/>
  <c r="Q58" i="6"/>
  <c r="Q61" i="6"/>
  <c r="Q54" i="6"/>
  <c r="Q78" i="6"/>
  <c r="Q223" i="6"/>
  <c r="Q24" i="6"/>
  <c r="I151" i="7" s="1"/>
  <c r="Q40" i="6"/>
  <c r="Q28" i="6"/>
  <c r="Q49" i="6"/>
  <c r="Q165" i="6"/>
  <c r="Q62" i="6"/>
  <c r="Q130" i="6"/>
  <c r="Q215" i="6"/>
  <c r="Q193" i="6"/>
  <c r="Q110" i="6"/>
  <c r="Q167" i="6"/>
  <c r="Q71" i="6"/>
  <c r="Q157" i="6"/>
  <c r="Q89" i="6"/>
  <c r="Q163" i="6"/>
  <c r="Q66" i="6"/>
  <c r="Q153" i="6"/>
  <c r="Q77" i="6"/>
  <c r="Q156" i="6"/>
  <c r="Q207" i="6"/>
  <c r="Q139" i="6"/>
  <c r="Q67" i="6"/>
  <c r="Q100" i="6"/>
  <c r="Q84" i="6"/>
  <c r="Q14" i="6"/>
  <c r="Q45" i="6"/>
  <c r="Q72" i="6"/>
  <c r="Q81" i="6"/>
  <c r="Q114" i="6"/>
  <c r="Q25" i="6"/>
  <c r="I168" i="7" s="1"/>
  <c r="Q41" i="6"/>
  <c r="Q29" i="6"/>
  <c r="Q30" i="6"/>
  <c r="Q51" i="6"/>
  <c r="Q13" i="6"/>
  <c r="Q181" i="6"/>
  <c r="Q88" i="6"/>
  <c r="Q117" i="6"/>
  <c r="Q213" i="6"/>
  <c r="Q190" i="6"/>
  <c r="Q101" i="6"/>
  <c r="Q164" i="6"/>
  <c r="Q50" i="6"/>
  <c r="Q154" i="6"/>
  <c r="Q73" i="6"/>
  <c r="Q160" i="6"/>
  <c r="Q214" i="6"/>
  <c r="Q150" i="6"/>
  <c r="Q208" i="6"/>
  <c r="Q143" i="6"/>
  <c r="Q203" i="6"/>
  <c r="Q136" i="6"/>
  <c r="Q197" i="6"/>
  <c r="Q16" i="6"/>
  <c r="Q48" i="6"/>
  <c r="Q53" i="6"/>
  <c r="Q57" i="6"/>
  <c r="Q94" i="6"/>
  <c r="Q15" i="6"/>
  <c r="Q228" i="6"/>
  <c r="Q177" i="6"/>
  <c r="Q85" i="6"/>
  <c r="Q151" i="6"/>
  <c r="Q216" i="6"/>
  <c r="Q141" i="6"/>
  <c r="Q64" i="6"/>
  <c r="Q144" i="6"/>
  <c r="Q201" i="6"/>
  <c r="Q137" i="6"/>
  <c r="Q204" i="6"/>
  <c r="Q124" i="6"/>
  <c r="Q200" i="6"/>
  <c r="Q123" i="6"/>
  <c r="Q44" i="6"/>
  <c r="Q47" i="6"/>
  <c r="Q18" i="6"/>
  <c r="Q70" i="6"/>
  <c r="Q26" i="6"/>
  <c r="I94" i="7" s="1"/>
  <c r="Q46" i="6"/>
  <c r="Q59" i="6"/>
  <c r="Q23" i="6"/>
  <c r="I130" i="7" s="1"/>
  <c r="Q226" i="6"/>
  <c r="Q174" i="6"/>
  <c r="Q69" i="6"/>
  <c r="Q135" i="6"/>
  <c r="Q210" i="6"/>
  <c r="Q138" i="6"/>
  <c r="Q209" i="6"/>
  <c r="Q115" i="6"/>
  <c r="Q198" i="6"/>
  <c r="Q134" i="6"/>
  <c r="Q191" i="6"/>
  <c r="Q108" i="6"/>
  <c r="Q187" i="6"/>
  <c r="Q120" i="6"/>
  <c r="Q74" i="6"/>
  <c r="Q20" i="6"/>
  <c r="Q76" i="6"/>
  <c r="Q90" i="6"/>
  <c r="Q194" i="6"/>
  <c r="Q227" i="6"/>
  <c r="Q38" i="6"/>
  <c r="Q7" i="6"/>
  <c r="Q98" i="6"/>
  <c r="I35" i="7" s="1"/>
  <c r="Q22" i="6"/>
  <c r="Q27" i="6"/>
  <c r="I186" i="7" s="1"/>
  <c r="Q224" i="6"/>
  <c r="Q185" i="6"/>
  <c r="Q102" i="6"/>
  <c r="Q171" i="6"/>
  <c r="Q34" i="6"/>
  <c r="Q158" i="6"/>
  <c r="Q121" i="6"/>
  <c r="Q119" i="6"/>
  <c r="I72" i="7" s="1"/>
  <c r="Q60" i="6"/>
  <c r="Q206" i="6"/>
  <c r="Q188" i="6"/>
  <c r="Q56" i="6"/>
  <c r="Q202" i="6"/>
  <c r="Q92" i="6"/>
  <c r="I207" i="7" s="1"/>
  <c r="Q125" i="6"/>
  <c r="Q107" i="6"/>
  <c r="Q230" i="6"/>
  <c r="Q205" i="6"/>
  <c r="G24" i="7"/>
  <c r="G17" i="7"/>
  <c r="D44" i="7"/>
  <c r="G200" i="7"/>
  <c r="F17" i="7"/>
  <c r="F56" i="7"/>
  <c r="G216" i="7"/>
  <c r="G31" i="7"/>
  <c r="G28" i="7"/>
  <c r="G27" i="7"/>
  <c r="G209" i="7"/>
  <c r="G232" i="7"/>
  <c r="G144" i="7"/>
  <c r="G206" i="7"/>
  <c r="G91" i="7"/>
  <c r="F98" i="7"/>
  <c r="F128" i="7"/>
  <c r="F126" i="7"/>
  <c r="F232" i="7"/>
  <c r="F76" i="7"/>
  <c r="F195" i="7"/>
  <c r="F91" i="7"/>
  <c r="F104" i="7"/>
  <c r="E202" i="7"/>
  <c r="G56" i="7"/>
  <c r="G104" i="7"/>
  <c r="AA203" i="1"/>
  <c r="AA202" i="1"/>
  <c r="G183" i="7"/>
  <c r="G93" i="7"/>
  <c r="U227" i="1"/>
  <c r="U199" i="1"/>
  <c r="U60" i="1"/>
  <c r="AA60" i="1" s="1"/>
  <c r="U222" i="1"/>
  <c r="G98" i="7"/>
  <c r="U177" i="1"/>
  <c r="U190" i="1"/>
  <c r="F214" i="7"/>
  <c r="F24" i="7"/>
  <c r="AB212" i="1"/>
  <c r="G12" i="7"/>
  <c r="G46" i="7"/>
  <c r="F144" i="7"/>
  <c r="D90" i="7"/>
  <c r="D177" i="7"/>
  <c r="U117" i="1"/>
  <c r="AB117" i="1" s="1"/>
  <c r="U37" i="1"/>
  <c r="F198" i="7"/>
  <c r="E58" i="7"/>
  <c r="E48" i="7"/>
  <c r="E192" i="7"/>
  <c r="E217" i="7"/>
  <c r="F27" i="7"/>
  <c r="E156" i="7"/>
  <c r="E27" i="7"/>
  <c r="G25" i="7"/>
  <c r="G187" i="7"/>
  <c r="G212" i="7"/>
  <c r="G136" i="7"/>
  <c r="G231" i="7"/>
  <c r="G162" i="7"/>
  <c r="G191" i="7"/>
  <c r="G176" i="7"/>
  <c r="G210" i="7"/>
  <c r="G143" i="7"/>
  <c r="G51" i="7"/>
  <c r="G215" i="7"/>
  <c r="G26" i="7"/>
  <c r="G205" i="7"/>
  <c r="G107" i="7"/>
  <c r="G73" i="7"/>
  <c r="G90" i="7"/>
  <c r="G227" i="7"/>
  <c r="G180" i="7"/>
  <c r="G75" i="7"/>
  <c r="G139" i="7"/>
  <c r="G22" i="7"/>
  <c r="G30" i="7"/>
  <c r="G29" i="7"/>
  <c r="G238" i="7"/>
  <c r="G224" i="7"/>
  <c r="G177" i="7"/>
  <c r="G20" i="7"/>
  <c r="G201" i="7"/>
  <c r="F108" i="7"/>
  <c r="E82" i="7"/>
  <c r="E43" i="7"/>
  <c r="E161" i="7"/>
  <c r="E38" i="7"/>
  <c r="G13" i="7"/>
  <c r="G149" i="7"/>
  <c r="E199" i="7"/>
  <c r="F131" i="7"/>
  <c r="F160" i="7"/>
  <c r="F13" i="7"/>
  <c r="F110" i="7"/>
  <c r="F228" i="7"/>
  <c r="G153" i="7"/>
  <c r="G134" i="7"/>
  <c r="G138" i="7"/>
  <c r="G41" i="7"/>
  <c r="G166" i="7"/>
  <c r="G184" i="7"/>
  <c r="G127" i="7"/>
  <c r="G185" i="7"/>
  <c r="G204" i="7"/>
  <c r="G190" i="7"/>
  <c r="G71" i="7"/>
  <c r="G194" i="7"/>
  <c r="G23" i="7"/>
  <c r="G88" i="7"/>
  <c r="G213" i="7"/>
  <c r="G89" i="7"/>
  <c r="G53" i="7"/>
  <c r="G47" i="7"/>
  <c r="G164" i="7"/>
  <c r="G188" i="7"/>
  <c r="G102" i="7"/>
  <c r="G142" i="7"/>
  <c r="G16" i="7"/>
  <c r="G230" i="7"/>
  <c r="G219" i="7"/>
  <c r="F187" i="7"/>
  <c r="F212" i="7"/>
  <c r="F136" i="7"/>
  <c r="F231" i="7"/>
  <c r="F162" i="7"/>
  <c r="F191" i="7"/>
  <c r="F176" i="7"/>
  <c r="F210" i="7"/>
  <c r="F143" i="7"/>
  <c r="F51" i="7"/>
  <c r="F215" i="7"/>
  <c r="F26" i="7"/>
  <c r="F205" i="7"/>
  <c r="F107" i="7"/>
  <c r="F73" i="7"/>
  <c r="F90" i="7"/>
  <c r="F227" i="7"/>
  <c r="F180" i="7"/>
  <c r="F75" i="7"/>
  <c r="F139" i="7"/>
  <c r="F22" i="7"/>
  <c r="F30" i="7"/>
  <c r="F29" i="7"/>
  <c r="F238" i="7"/>
  <c r="F224" i="7"/>
  <c r="F177" i="7"/>
  <c r="F20" i="7"/>
  <c r="F201" i="7"/>
  <c r="G19" i="7"/>
  <c r="F202" i="7"/>
  <c r="E99" i="7"/>
  <c r="E152" i="7"/>
  <c r="E21" i="7"/>
  <c r="E39" i="7"/>
  <c r="F133" i="7"/>
  <c r="E198" i="7"/>
  <c r="G36" i="7"/>
  <c r="G110" i="7"/>
  <c r="G208" i="7"/>
  <c r="E209" i="7"/>
  <c r="E50" i="7"/>
  <c r="F123" i="7"/>
  <c r="F14" i="7"/>
  <c r="F149" i="7"/>
  <c r="F70" i="7"/>
  <c r="F59" i="7"/>
  <c r="F182" i="7"/>
  <c r="E131" i="7"/>
  <c r="F111" i="7"/>
  <c r="E93" i="7"/>
  <c r="E160" i="7"/>
  <c r="E54" i="7"/>
  <c r="E158" i="7"/>
  <c r="E123" i="7"/>
  <c r="E36" i="7"/>
  <c r="E13" i="7"/>
  <c r="E84" i="7"/>
  <c r="E124" i="7"/>
  <c r="E14" i="7"/>
  <c r="E225" i="7"/>
  <c r="E110" i="7"/>
  <c r="E25" i="7"/>
  <c r="E15" i="7"/>
  <c r="E149" i="7"/>
  <c r="E172" i="7"/>
  <c r="E159" i="7"/>
  <c r="E228" i="7"/>
  <c r="E208" i="7"/>
  <c r="E70" i="7"/>
  <c r="E174" i="7"/>
  <c r="E140" i="7"/>
  <c r="E59" i="7"/>
  <c r="E122" i="7"/>
  <c r="E96" i="7"/>
  <c r="E12" i="7"/>
  <c r="E19" i="7"/>
  <c r="E214" i="7"/>
  <c r="E104" i="7"/>
  <c r="G52" i="7"/>
  <c r="G32" i="7"/>
  <c r="G77" i="7"/>
  <c r="G81" i="7"/>
  <c r="G175" i="7"/>
  <c r="G68" i="7"/>
  <c r="G119" i="7"/>
  <c r="G121" i="7"/>
  <c r="G113" i="7"/>
  <c r="G234" i="7"/>
  <c r="G135" i="7"/>
  <c r="G132" i="7"/>
  <c r="G125" i="7"/>
  <c r="G101" i="7"/>
  <c r="G40" i="7"/>
  <c r="G235" i="7"/>
  <c r="G67" i="7"/>
  <c r="G137" i="7"/>
  <c r="G179" i="7"/>
  <c r="G181" i="7"/>
  <c r="F153" i="7"/>
  <c r="F134" i="7"/>
  <c r="F138" i="7"/>
  <c r="F41" i="7"/>
  <c r="F166" i="7"/>
  <c r="F184" i="7"/>
  <c r="F127" i="7"/>
  <c r="F185" i="7"/>
  <c r="F204" i="7"/>
  <c r="F190" i="7"/>
  <c r="F71" i="7"/>
  <c r="F194" i="7"/>
  <c r="F23" i="7"/>
  <c r="F88" i="7"/>
  <c r="F213" i="7"/>
  <c r="F89" i="7"/>
  <c r="F53" i="7"/>
  <c r="F47" i="7"/>
  <c r="F164" i="7"/>
  <c r="F188" i="7"/>
  <c r="F102" i="7"/>
  <c r="F142" i="7"/>
  <c r="F16" i="7"/>
  <c r="F230" i="7"/>
  <c r="F219" i="7"/>
  <c r="E187" i="7"/>
  <c r="E212" i="7"/>
  <c r="E136" i="7"/>
  <c r="E231" i="7"/>
  <c r="E162" i="7"/>
  <c r="E191" i="7"/>
  <c r="E176" i="7"/>
  <c r="E210" i="7"/>
  <c r="E143" i="7"/>
  <c r="E51" i="7"/>
  <c r="E215" i="7"/>
  <c r="E26" i="7"/>
  <c r="E205" i="7"/>
  <c r="E107" i="7"/>
  <c r="E73" i="7"/>
  <c r="E90" i="7"/>
  <c r="E227" i="7"/>
  <c r="E180" i="7"/>
  <c r="E75" i="7"/>
  <c r="E139" i="7"/>
  <c r="E22" i="7"/>
  <c r="E30" i="7"/>
  <c r="E29" i="7"/>
  <c r="E238" i="7"/>
  <c r="E224" i="7"/>
  <c r="E177" i="7"/>
  <c r="E20" i="7"/>
  <c r="E201" i="7"/>
  <c r="E133" i="7"/>
  <c r="E197" i="7"/>
  <c r="E85" i="7"/>
  <c r="E83" i="7"/>
  <c r="G123" i="7"/>
  <c r="G225" i="7"/>
  <c r="G159" i="7"/>
  <c r="G140" i="7"/>
  <c r="G122" i="7"/>
  <c r="E24" i="7"/>
  <c r="E165" i="7"/>
  <c r="F36" i="7"/>
  <c r="F225" i="7"/>
  <c r="F172" i="7"/>
  <c r="F174" i="7"/>
  <c r="F140" i="7"/>
  <c r="F52" i="7"/>
  <c r="F32" i="7"/>
  <c r="F77" i="7"/>
  <c r="F81" i="7"/>
  <c r="F175" i="7"/>
  <c r="F68" i="7"/>
  <c r="F119" i="7"/>
  <c r="F121" i="7"/>
  <c r="F113" i="7"/>
  <c r="F234" i="7"/>
  <c r="F135" i="7"/>
  <c r="F132" i="7"/>
  <c r="F125" i="7"/>
  <c r="F101" i="7"/>
  <c r="F40" i="7"/>
  <c r="F235" i="7"/>
  <c r="F67" i="7"/>
  <c r="F137" i="7"/>
  <c r="F179" i="7"/>
  <c r="F181" i="7"/>
  <c r="E153" i="7"/>
  <c r="E134" i="7"/>
  <c r="E138" i="7"/>
  <c r="E41" i="7"/>
  <c r="E166" i="7"/>
  <c r="E184" i="7"/>
  <c r="E127" i="7"/>
  <c r="E185" i="7"/>
  <c r="E204" i="7"/>
  <c r="E190" i="7"/>
  <c r="E71" i="7"/>
  <c r="E194" i="7"/>
  <c r="E23" i="7"/>
  <c r="E88" i="7"/>
  <c r="E213" i="7"/>
  <c r="E89" i="7"/>
  <c r="E53" i="7"/>
  <c r="E47" i="7"/>
  <c r="E164" i="7"/>
  <c r="E188" i="7"/>
  <c r="E102" i="7"/>
  <c r="E142" i="7"/>
  <c r="E16" i="7"/>
  <c r="E230" i="7"/>
  <c r="E219" i="7"/>
  <c r="F109" i="7"/>
  <c r="E237" i="7"/>
  <c r="E109" i="7"/>
  <c r="G54" i="7"/>
  <c r="G84" i="7"/>
  <c r="G15" i="7"/>
  <c r="G70" i="7"/>
  <c r="G59" i="7"/>
  <c r="E91" i="7"/>
  <c r="E120" i="7"/>
  <c r="E31" i="7"/>
  <c r="F158" i="7"/>
  <c r="F124" i="7"/>
  <c r="F15" i="7"/>
  <c r="F208" i="7"/>
  <c r="F96" i="7"/>
  <c r="E182" i="7"/>
  <c r="F28" i="7"/>
  <c r="G44" i="7"/>
  <c r="G163" i="7"/>
  <c r="G167" i="7"/>
  <c r="G189" i="7"/>
  <c r="G233" i="7"/>
  <c r="G45" i="7"/>
  <c r="F200" i="7"/>
  <c r="E206" i="7"/>
  <c r="F183" i="7"/>
  <c r="E28" i="7"/>
  <c r="E147" i="7"/>
  <c r="E216" i="7"/>
  <c r="E46" i="7"/>
  <c r="E128" i="7"/>
  <c r="G86" i="7"/>
  <c r="G37" i="7"/>
  <c r="G33" i="7"/>
  <c r="G55" i="7"/>
  <c r="G157" i="7"/>
  <c r="G92" i="7"/>
  <c r="G69" i="7"/>
  <c r="G229" i="7"/>
  <c r="G57" i="7"/>
  <c r="G105" i="7"/>
  <c r="G103" i="7"/>
  <c r="G218" i="7"/>
  <c r="G18" i="7"/>
  <c r="E232" i="7"/>
  <c r="E52" i="7"/>
  <c r="E32" i="7"/>
  <c r="E77" i="7"/>
  <c r="E81" i="7"/>
  <c r="E175" i="7"/>
  <c r="E68" i="7"/>
  <c r="E119" i="7"/>
  <c r="E121" i="7"/>
  <c r="E113" i="7"/>
  <c r="E234" i="7"/>
  <c r="E135" i="7"/>
  <c r="E132" i="7"/>
  <c r="E125" i="7"/>
  <c r="E101" i="7"/>
  <c r="E40" i="7"/>
  <c r="E235" i="7"/>
  <c r="E67" i="7"/>
  <c r="E137" i="7"/>
  <c r="E179" i="7"/>
  <c r="E181" i="7"/>
  <c r="F141" i="7"/>
  <c r="E236" i="7"/>
  <c r="E87" i="7"/>
  <c r="E65" i="7"/>
  <c r="E34" i="7"/>
  <c r="E141" i="7"/>
  <c r="F31" i="7"/>
  <c r="G158" i="7"/>
  <c r="G14" i="7"/>
  <c r="G228" i="7"/>
  <c r="E56" i="7"/>
  <c r="F54" i="7"/>
  <c r="F84" i="7"/>
  <c r="F25" i="7"/>
  <c r="F159" i="7"/>
  <c r="F122" i="7"/>
  <c r="F206" i="7"/>
  <c r="E111" i="7"/>
  <c r="G197" i="7"/>
  <c r="G237" i="7"/>
  <c r="G82" i="7"/>
  <c r="G95" i="7"/>
  <c r="G193" i="7"/>
  <c r="G236" i="7"/>
  <c r="G58" i="7"/>
  <c r="G99" i="7"/>
  <c r="G85" i="7"/>
  <c r="G43" i="7"/>
  <c r="G49" i="7"/>
  <c r="G87" i="7"/>
  <c r="G48" i="7"/>
  <c r="G161" i="7"/>
  <c r="G65" i="7"/>
  <c r="G117" i="7"/>
  <c r="G61" i="7"/>
  <c r="G192" i="7"/>
  <c r="G152" i="7"/>
  <c r="G38" i="7"/>
  <c r="G112" i="7"/>
  <c r="G21" i="7"/>
  <c r="G34" i="7"/>
  <c r="G217" i="7"/>
  <c r="G63" i="7"/>
  <c r="F44" i="7"/>
  <c r="F163" i="7"/>
  <c r="F167" i="7"/>
  <c r="F189" i="7"/>
  <c r="F233" i="7"/>
  <c r="F45" i="7"/>
  <c r="E200" i="7"/>
  <c r="F97" i="7"/>
  <c r="E183" i="7"/>
  <c r="F86" i="7"/>
  <c r="F37" i="7"/>
  <c r="F33" i="7"/>
  <c r="F55" i="7"/>
  <c r="F157" i="7"/>
  <c r="F92" i="7"/>
  <c r="F69" i="7"/>
  <c r="F229" i="7"/>
  <c r="F57" i="7"/>
  <c r="F105" i="7"/>
  <c r="F103" i="7"/>
  <c r="F218" i="7"/>
  <c r="F18" i="7"/>
  <c r="F156" i="7"/>
  <c r="E193" i="7"/>
  <c r="E49" i="7"/>
  <c r="E117" i="7"/>
  <c r="E112" i="7"/>
  <c r="E108" i="7"/>
  <c r="G160" i="7"/>
  <c r="G124" i="7"/>
  <c r="G172" i="7"/>
  <c r="G174" i="7"/>
  <c r="G96" i="7"/>
  <c r="E126" i="7"/>
  <c r="E148" i="7"/>
  <c r="G133" i="7"/>
  <c r="F93" i="7"/>
  <c r="G109" i="7"/>
  <c r="G108" i="7"/>
  <c r="G156" i="7"/>
  <c r="G83" i="7"/>
  <c r="G141" i="7"/>
  <c r="G198" i="7"/>
  <c r="G202" i="7"/>
  <c r="F197" i="7"/>
  <c r="F237" i="7"/>
  <c r="F82" i="7"/>
  <c r="F95" i="7"/>
  <c r="F193" i="7"/>
  <c r="F236" i="7"/>
  <c r="F58" i="7"/>
  <c r="F99" i="7"/>
  <c r="F85" i="7"/>
  <c r="F43" i="7"/>
  <c r="F49" i="7"/>
  <c r="F87" i="7"/>
  <c r="F48" i="7"/>
  <c r="F161" i="7"/>
  <c r="F65" i="7"/>
  <c r="F117" i="7"/>
  <c r="F61" i="7"/>
  <c r="F192" i="7"/>
  <c r="F152" i="7"/>
  <c r="F38" i="7"/>
  <c r="F112" i="7"/>
  <c r="F21" i="7"/>
  <c r="F34" i="7"/>
  <c r="F217" i="7"/>
  <c r="F63" i="7"/>
  <c r="E44" i="7"/>
  <c r="E163" i="7"/>
  <c r="E167" i="7"/>
  <c r="E189" i="7"/>
  <c r="E233" i="7"/>
  <c r="E45" i="7"/>
  <c r="F39" i="7"/>
  <c r="E97" i="7"/>
  <c r="E17" i="7"/>
  <c r="E98" i="7"/>
  <c r="E195" i="7"/>
  <c r="E76" i="7"/>
  <c r="G50" i="7"/>
  <c r="G165" i="7"/>
  <c r="G199" i="7"/>
  <c r="G120" i="7"/>
  <c r="G148" i="7"/>
  <c r="E144" i="7"/>
  <c r="E86" i="7"/>
  <c r="E37" i="7"/>
  <c r="E33" i="7"/>
  <c r="E55" i="7"/>
  <c r="E157" i="7"/>
  <c r="E92" i="7"/>
  <c r="E69" i="7"/>
  <c r="E229" i="7"/>
  <c r="E57" i="7"/>
  <c r="E105" i="7"/>
  <c r="E103" i="7"/>
  <c r="E218" i="7"/>
  <c r="E18" i="7"/>
  <c r="F19" i="7"/>
  <c r="F83" i="7"/>
  <c r="E95" i="7"/>
  <c r="E61" i="7"/>
  <c r="E63" i="7"/>
  <c r="F50" i="7"/>
  <c r="F165" i="7"/>
  <c r="F199" i="7"/>
  <c r="F120" i="7"/>
  <c r="F148" i="7"/>
  <c r="D82" i="7"/>
  <c r="D236" i="7"/>
  <c r="D85" i="7"/>
  <c r="D48" i="7"/>
  <c r="D117" i="7"/>
  <c r="D152" i="7"/>
  <c r="D21" i="7"/>
  <c r="D217" i="7"/>
  <c r="D63" i="7"/>
  <c r="D108" i="7"/>
  <c r="D39" i="7"/>
  <c r="D195" i="7"/>
  <c r="D50" i="7"/>
  <c r="D199" i="7"/>
  <c r="D144" i="7"/>
  <c r="D111" i="7"/>
  <c r="D197" i="7"/>
  <c r="D58" i="7"/>
  <c r="D49" i="7"/>
  <c r="D112" i="7"/>
  <c r="D156" i="7"/>
  <c r="D141" i="7"/>
  <c r="D198" i="7"/>
  <c r="D202" i="7"/>
  <c r="D17" i="7"/>
  <c r="D98" i="7"/>
  <c r="D76" i="7"/>
  <c r="D165" i="7"/>
  <c r="D120" i="7"/>
  <c r="D148" i="7"/>
  <c r="D27" i="7"/>
  <c r="D95" i="7"/>
  <c r="D193" i="7"/>
  <c r="D43" i="7"/>
  <c r="D87" i="7"/>
  <c r="D161" i="7"/>
  <c r="D192" i="7"/>
  <c r="D34" i="7"/>
  <c r="D109" i="7"/>
  <c r="D83" i="7"/>
  <c r="D31" i="7"/>
  <c r="D160" i="7"/>
  <c r="D54" i="7"/>
  <c r="D158" i="7"/>
  <c r="D123" i="7"/>
  <c r="D36" i="7"/>
  <c r="D13" i="7"/>
  <c r="D84" i="7"/>
  <c r="D124" i="7"/>
  <c r="D14" i="7"/>
  <c r="D225" i="7"/>
  <c r="D110" i="7"/>
  <c r="D25" i="7"/>
  <c r="D15" i="7"/>
  <c r="D149" i="7"/>
  <c r="D172" i="7"/>
  <c r="D159" i="7"/>
  <c r="D228" i="7"/>
  <c r="D208" i="7"/>
  <c r="D70" i="7"/>
  <c r="D174" i="7"/>
  <c r="D140" i="7"/>
  <c r="D59" i="7"/>
  <c r="D122" i="7"/>
  <c r="D96" i="7"/>
  <c r="D209" i="7"/>
  <c r="D91" i="7"/>
  <c r="D24" i="7"/>
  <c r="D126" i="7"/>
  <c r="D56" i="7"/>
  <c r="D187" i="7"/>
  <c r="D212" i="7"/>
  <c r="D136" i="7"/>
  <c r="D231" i="7"/>
  <c r="D162" i="7"/>
  <c r="D191" i="7"/>
  <c r="D176" i="7"/>
  <c r="D210" i="7"/>
  <c r="D143" i="7"/>
  <c r="D51" i="7"/>
  <c r="D215" i="7"/>
  <c r="D26" i="7"/>
  <c r="D205" i="7"/>
  <c r="D107" i="7"/>
  <c r="D73" i="7"/>
  <c r="D227" i="7"/>
  <c r="D180" i="7"/>
  <c r="D75" i="7"/>
  <c r="D139" i="7"/>
  <c r="D22" i="7"/>
  <c r="D30" i="7"/>
  <c r="D29" i="7"/>
  <c r="D238" i="7"/>
  <c r="D224" i="7"/>
  <c r="D20" i="7"/>
  <c r="D201" i="7"/>
  <c r="D134" i="7"/>
  <c r="D138" i="7"/>
  <c r="D41" i="7"/>
  <c r="D166" i="7"/>
  <c r="D184" i="7"/>
  <c r="D127" i="7"/>
  <c r="D185" i="7"/>
  <c r="D204" i="7"/>
  <c r="D190" i="7"/>
  <c r="D71" i="7"/>
  <c r="D194" i="7"/>
  <c r="D23" i="7"/>
  <c r="D88" i="7"/>
  <c r="D213" i="7"/>
  <c r="D89" i="7"/>
  <c r="D53" i="7"/>
  <c r="D47" i="7"/>
  <c r="D164" i="7"/>
  <c r="D188" i="7"/>
  <c r="D102" i="7"/>
  <c r="D142" i="7"/>
  <c r="D16" i="7"/>
  <c r="D230" i="7"/>
  <c r="D219" i="7"/>
  <c r="D19" i="7"/>
  <c r="D77" i="7"/>
  <c r="D81" i="7"/>
  <c r="D175" i="7"/>
  <c r="D68" i="7"/>
  <c r="D119" i="7"/>
  <c r="D121" i="7"/>
  <c r="D113" i="7"/>
  <c r="D234" i="7"/>
  <c r="D135" i="7"/>
  <c r="D132" i="7"/>
  <c r="D125" i="7"/>
  <c r="D101" i="7"/>
  <c r="D40" i="7"/>
  <c r="D235" i="7"/>
  <c r="D67" i="7"/>
  <c r="D137" i="7"/>
  <c r="D179" i="7"/>
  <c r="D181" i="7"/>
  <c r="D12" i="7"/>
  <c r="D104" i="7"/>
  <c r="D52" i="7"/>
  <c r="D206" i="7"/>
  <c r="D131" i="7"/>
  <c r="D93" i="7"/>
  <c r="D182" i="7"/>
  <c r="D214" i="7"/>
  <c r="D32" i="7"/>
  <c r="D28" i="7"/>
  <c r="D133" i="7"/>
  <c r="D163" i="7"/>
  <c r="D167" i="7"/>
  <c r="D189" i="7"/>
  <c r="D233" i="7"/>
  <c r="D45" i="7"/>
  <c r="D200" i="7"/>
  <c r="D183" i="7"/>
  <c r="D147" i="7"/>
  <c r="D216" i="7"/>
  <c r="D46" i="7"/>
  <c r="D128" i="7"/>
  <c r="D86" i="7"/>
  <c r="D37" i="7"/>
  <c r="D33" i="7"/>
  <c r="D55" i="7"/>
  <c r="D157" i="7"/>
  <c r="D92" i="7"/>
  <c r="D69" i="7"/>
  <c r="D229" i="7"/>
  <c r="D57" i="7"/>
  <c r="D105" i="7"/>
  <c r="D103" i="7"/>
  <c r="D218" i="7"/>
  <c r="D18" i="7"/>
  <c r="D232" i="7"/>
  <c r="D237" i="7"/>
  <c r="D99" i="7"/>
  <c r="D65" i="7"/>
  <c r="D61" i="7"/>
  <c r="D38" i="7"/>
  <c r="D97" i="7"/>
  <c r="AB194" i="1"/>
  <c r="AA220" i="1"/>
  <c r="AB220" i="1"/>
  <c r="AA212" i="1"/>
  <c r="AA179" i="1"/>
  <c r="AA213" i="1"/>
  <c r="AB207" i="1"/>
  <c r="AA207" i="1"/>
  <c r="AA224" i="1"/>
  <c r="AA206" i="1"/>
  <c r="AA194" i="1"/>
  <c r="AA185" i="1"/>
  <c r="AB179" i="1"/>
  <c r="AB195" i="1"/>
  <c r="AA186" i="1"/>
  <c r="AB186" i="1"/>
  <c r="AA200" i="1"/>
  <c r="AA184" i="1"/>
  <c r="AB219" i="1"/>
  <c r="AA204" i="1"/>
  <c r="AB185" i="1"/>
  <c r="AA181" i="1"/>
  <c r="AB198" i="1"/>
  <c r="AA198" i="1"/>
  <c r="AB224" i="1"/>
  <c r="AB206" i="1"/>
  <c r="AB181" i="1"/>
  <c r="AA219" i="1"/>
  <c r="AA195" i="1"/>
  <c r="AB213" i="1"/>
  <c r="AB200" i="1"/>
  <c r="AB184" i="1"/>
  <c r="AB204" i="1"/>
  <c r="AB140" i="1"/>
  <c r="AA140" i="1"/>
  <c r="U205" i="1"/>
  <c r="U180" i="1"/>
  <c r="AB196" i="1"/>
  <c r="AA196" i="1"/>
  <c r="AB231" i="1"/>
  <c r="AA231" i="1"/>
  <c r="AB230" i="1"/>
  <c r="AA230" i="1"/>
  <c r="AB170" i="1"/>
  <c r="AA170" i="1"/>
  <c r="AB182" i="1"/>
  <c r="AA182" i="1"/>
  <c r="AB177" i="1"/>
  <c r="AA177" i="1"/>
  <c r="AB133" i="1"/>
  <c r="AA133" i="1"/>
  <c r="AB135" i="1"/>
  <c r="AA135" i="1"/>
  <c r="AB134" i="1"/>
  <c r="AA134" i="1"/>
  <c r="AB141" i="1"/>
  <c r="AA141" i="1"/>
  <c r="AB138" i="1"/>
  <c r="AA138" i="1"/>
  <c r="AB153" i="1"/>
  <c r="AA153" i="1"/>
  <c r="AB152" i="1"/>
  <c r="AA152" i="1"/>
  <c r="AB151" i="1"/>
  <c r="AA151" i="1"/>
  <c r="AB149" i="1"/>
  <c r="AA149" i="1"/>
  <c r="AB147" i="1"/>
  <c r="AA147" i="1"/>
  <c r="AB146" i="1"/>
  <c r="AA146" i="1"/>
  <c r="AB145" i="1"/>
  <c r="AA145" i="1"/>
  <c r="AB144" i="1"/>
  <c r="AA144" i="1"/>
  <c r="AB143" i="1"/>
  <c r="AA143" i="1"/>
  <c r="AB142" i="1"/>
  <c r="AA142" i="1"/>
  <c r="AB161" i="1"/>
  <c r="AA161" i="1"/>
  <c r="AB164" i="1"/>
  <c r="AA164" i="1"/>
  <c r="AB165" i="1"/>
  <c r="AA165" i="1"/>
  <c r="AB160" i="1"/>
  <c r="AA160" i="1"/>
  <c r="AB159" i="1"/>
  <c r="AA159" i="1"/>
  <c r="AB158" i="1"/>
  <c r="AA158" i="1"/>
  <c r="AB157" i="1"/>
  <c r="AA157" i="1"/>
  <c r="S17" i="1"/>
  <c r="S19" i="1"/>
  <c r="J66" i="7" l="1"/>
  <c r="J80" i="7"/>
  <c r="J203" i="7"/>
  <c r="J64" i="7"/>
  <c r="J170" i="7"/>
  <c r="H62" i="7"/>
  <c r="I222" i="7"/>
  <c r="J72" i="7"/>
  <c r="H60" i="7"/>
  <c r="H35" i="7"/>
  <c r="S4" i="6"/>
  <c r="I155" i="7"/>
  <c r="H146" i="7"/>
  <c r="I203" i="7"/>
  <c r="I80" i="7"/>
  <c r="H155" i="7"/>
  <c r="H221" i="7"/>
  <c r="I220" i="7"/>
  <c r="I171" i="7"/>
  <c r="I78" i="7"/>
  <c r="I154" i="7"/>
  <c r="J169" i="7"/>
  <c r="J60" i="7"/>
  <c r="S161" i="6"/>
  <c r="K16" i="7" s="1"/>
  <c r="I221" i="7"/>
  <c r="I114" i="7"/>
  <c r="S162" i="6"/>
  <c r="K110" i="7" s="1"/>
  <c r="I118" i="7"/>
  <c r="J207" i="7"/>
  <c r="J35" i="7"/>
  <c r="H79" i="7"/>
  <c r="H169" i="7"/>
  <c r="H42" i="7"/>
  <c r="H207" i="7"/>
  <c r="S173" i="6"/>
  <c r="K198" i="7" s="1"/>
  <c r="I129" i="7"/>
  <c r="S86" i="6"/>
  <c r="J118" i="7"/>
  <c r="J146" i="7"/>
  <c r="S209" i="6"/>
  <c r="K28" i="7" s="1"/>
  <c r="J62" i="7"/>
  <c r="J106" i="7"/>
  <c r="J79" i="7"/>
  <c r="H64" i="7"/>
  <c r="H100" i="7"/>
  <c r="S140" i="6"/>
  <c r="K38" i="7" s="1"/>
  <c r="S7" i="6"/>
  <c r="K161" i="7" s="1"/>
  <c r="S72" i="6"/>
  <c r="K113" i="7" s="1"/>
  <c r="I116" i="7"/>
  <c r="J196" i="7"/>
  <c r="H78" i="7"/>
  <c r="S232" i="6"/>
  <c r="K239" i="7" s="1"/>
  <c r="S32" i="6"/>
  <c r="K12" i="7" s="1"/>
  <c r="S229" i="6"/>
  <c r="K189" i="7" s="1"/>
  <c r="I146" i="7"/>
  <c r="J220" i="7"/>
  <c r="H114" i="7"/>
  <c r="H203" i="7"/>
  <c r="H222" i="7"/>
  <c r="H72" i="7"/>
  <c r="H129" i="7"/>
  <c r="S184" i="6"/>
  <c r="K101" i="7" s="1"/>
  <c r="I79" i="7"/>
  <c r="I196" i="7"/>
  <c r="I64" i="7"/>
  <c r="J211" i="7"/>
  <c r="H80" i="7"/>
  <c r="H106" i="7"/>
  <c r="J129" i="7"/>
  <c r="S112" i="6"/>
  <c r="S212" i="6"/>
  <c r="K14" i="7" s="1"/>
  <c r="I100" i="7"/>
  <c r="I211" i="7"/>
  <c r="I169" i="7"/>
  <c r="J155" i="7"/>
  <c r="J154" i="7"/>
  <c r="J100" i="7"/>
  <c r="H145" i="7"/>
  <c r="H211" i="7"/>
  <c r="H150" i="7"/>
  <c r="S225" i="6"/>
  <c r="K226" i="7" s="1"/>
  <c r="S133" i="6"/>
  <c r="K40" i="7" s="1"/>
  <c r="I66" i="7"/>
  <c r="I106" i="7"/>
  <c r="I145" i="7"/>
  <c r="S219" i="6"/>
  <c r="K19" i="7" s="1"/>
  <c r="I60" i="7"/>
  <c r="I42" i="7"/>
  <c r="J145" i="7"/>
  <c r="J222" i="7"/>
  <c r="J171" i="7"/>
  <c r="J150" i="7"/>
  <c r="J114" i="7"/>
  <c r="J78" i="7"/>
  <c r="H66" i="7"/>
  <c r="H154" i="7"/>
  <c r="H171" i="7"/>
  <c r="H220" i="7"/>
  <c r="H196" i="7"/>
  <c r="S148" i="6"/>
  <c r="K187" i="7" s="1"/>
  <c r="S80" i="6"/>
  <c r="K69" i="7" s="1"/>
  <c r="S17" i="6"/>
  <c r="K39" i="7" s="1"/>
  <c r="J42" i="7"/>
  <c r="H116" i="7"/>
  <c r="S128" i="6"/>
  <c r="K227" i="7" s="1"/>
  <c r="S196" i="6"/>
  <c r="K74" i="7" s="1"/>
  <c r="S120" i="6"/>
  <c r="I62" i="7"/>
  <c r="S109" i="6"/>
  <c r="I170" i="7"/>
  <c r="J221" i="7"/>
  <c r="S223" i="6"/>
  <c r="K223" i="7" s="1"/>
  <c r="S54" i="6"/>
  <c r="K140" i="7" s="1"/>
  <c r="S215" i="6"/>
  <c r="K23" i="7" s="1"/>
  <c r="S152" i="6"/>
  <c r="K183" i="7" s="1"/>
  <c r="S117" i="6"/>
  <c r="S187" i="6"/>
  <c r="K200" i="7" s="1"/>
  <c r="S68" i="6"/>
  <c r="K67" i="7" s="1"/>
  <c r="S164" i="6"/>
  <c r="K54" i="7" s="1"/>
  <c r="S94" i="6"/>
  <c r="K116" i="7" s="1"/>
  <c r="S43" i="6"/>
  <c r="K43" i="7" s="1"/>
  <c r="S40" i="6"/>
  <c r="K50" i="7" s="1"/>
  <c r="S224" i="6"/>
  <c r="K126" i="7" s="1"/>
  <c r="S18" i="6"/>
  <c r="K58" i="7" s="1"/>
  <c r="S228" i="6"/>
  <c r="K232" i="7" s="1"/>
  <c r="S178" i="6"/>
  <c r="K138" i="7" s="1"/>
  <c r="S138" i="6"/>
  <c r="K192" i="7" s="1"/>
  <c r="S81" i="6"/>
  <c r="S87" i="6"/>
  <c r="S141" i="6"/>
  <c r="K44" i="7" s="1"/>
  <c r="S171" i="6"/>
  <c r="K57" i="7" s="1"/>
  <c r="S100" i="6"/>
  <c r="S41" i="6"/>
  <c r="K83" i="7" s="1"/>
  <c r="S77" i="6"/>
  <c r="K218" i="7" s="1"/>
  <c r="S129" i="6"/>
  <c r="K210" i="7" s="1"/>
  <c r="S216" i="6"/>
  <c r="K34" i="7" s="1"/>
  <c r="S78" i="6"/>
  <c r="K59" i="7" s="1"/>
  <c r="S191" i="6"/>
  <c r="K158" i="7" s="1"/>
  <c r="S165" i="6"/>
  <c r="K99" i="7" s="1"/>
  <c r="S230" i="6"/>
  <c r="K201" i="7" s="1"/>
  <c r="S61" i="6"/>
  <c r="K157" i="7" s="1"/>
  <c r="S202" i="6"/>
  <c r="K216" i="7" s="1"/>
  <c r="S79" i="6"/>
  <c r="K236" i="7" s="1"/>
  <c r="S25" i="6"/>
  <c r="K168" i="7" s="1"/>
  <c r="S38" i="6"/>
  <c r="S125" i="6"/>
  <c r="K174" i="7" s="1"/>
  <c r="S63" i="6"/>
  <c r="K182" i="7" s="1"/>
  <c r="S85" i="6"/>
  <c r="K61" i="7" s="1"/>
  <c r="S60" i="6"/>
  <c r="K108" i="7" s="1"/>
  <c r="S29" i="6"/>
  <c r="K102" i="7" s="1"/>
  <c r="S56" i="6"/>
  <c r="K73" i="7" s="1"/>
  <c r="S220" i="6"/>
  <c r="K30" i="7" s="1"/>
  <c r="S157" i="6"/>
  <c r="K13" i="7" s="1"/>
  <c r="S118" i="6"/>
  <c r="S101" i="6"/>
  <c r="S166" i="6"/>
  <c r="K92" i="7" s="1"/>
  <c r="S218" i="6"/>
  <c r="K142" i="7" s="1"/>
  <c r="S105" i="6"/>
  <c r="K220" i="7" s="1"/>
  <c r="S217" i="6"/>
  <c r="K20" i="7" s="1"/>
  <c r="S154" i="6"/>
  <c r="K209" i="7" s="1"/>
  <c r="S192" i="6"/>
  <c r="K117" i="7" s="1"/>
  <c r="S177" i="6"/>
  <c r="K109" i="7" s="1"/>
  <c r="S142" i="6"/>
  <c r="K25" i="7" s="1"/>
  <c r="S185" i="6"/>
  <c r="K118" i="7" s="1"/>
  <c r="S158" i="6"/>
  <c r="K51" i="7" s="1"/>
  <c r="S180" i="6"/>
  <c r="K188" i="7" s="1"/>
  <c r="S170" i="6"/>
  <c r="K47" i="7" s="1"/>
  <c r="S20" i="6"/>
  <c r="K214" i="7" s="1"/>
  <c r="S222" i="6"/>
  <c r="K193" i="7" s="1"/>
  <c r="S116" i="6"/>
  <c r="K71" i="7" s="1"/>
  <c r="S226" i="6"/>
  <c r="K180" i="7" s="1"/>
  <c r="S144" i="6"/>
  <c r="K123" i="7" s="1"/>
  <c r="S108" i="6"/>
  <c r="S206" i="6"/>
  <c r="K32" i="7" s="1"/>
  <c r="S221" i="6"/>
  <c r="K206" i="7" s="1"/>
  <c r="S119" i="6"/>
  <c r="S82" i="6"/>
  <c r="K75" i="7" s="1"/>
  <c r="S121" i="6"/>
  <c r="S176" i="6"/>
  <c r="K135" i="7" s="1"/>
  <c r="S110" i="6"/>
  <c r="S83" i="6"/>
  <c r="K76" i="7" s="1"/>
  <c r="S210" i="6"/>
  <c r="K233" i="7" s="1"/>
  <c r="S169" i="6"/>
  <c r="K41" i="7" s="1"/>
  <c r="S53" i="6"/>
  <c r="K172" i="7" s="1"/>
  <c r="S149" i="6"/>
  <c r="K162" i="7" s="1"/>
  <c r="S203" i="6"/>
  <c r="K185" i="7" s="1"/>
  <c r="S88" i="6"/>
  <c r="S89" i="6"/>
  <c r="S55" i="6"/>
  <c r="K199" i="7" s="1"/>
  <c r="S107" i="6"/>
  <c r="S130" i="6"/>
  <c r="K229" i="7" s="1"/>
  <c r="S183" i="6"/>
  <c r="K129" i="7" s="1"/>
  <c r="S190" i="6"/>
  <c r="K29" i="7" s="1"/>
  <c r="S124" i="6"/>
  <c r="K139" i="7" s="1"/>
  <c r="S199" i="6"/>
  <c r="K213" i="7" s="1"/>
  <c r="S214" i="6"/>
  <c r="K212" i="7" s="1"/>
  <c r="S45" i="6"/>
  <c r="K65" i="7" s="1"/>
  <c r="S44" i="6"/>
  <c r="K197" i="7" s="1"/>
  <c r="S58" i="6"/>
  <c r="K219" i="7" s="1"/>
  <c r="S201" i="6"/>
  <c r="K134" i="7" s="1"/>
  <c r="S181" i="6"/>
  <c r="K146" i="7" s="1"/>
  <c r="S200" i="6"/>
  <c r="K143" i="7" s="1"/>
  <c r="S113" i="6"/>
  <c r="K215" i="7" s="1"/>
  <c r="S70" i="6"/>
  <c r="K136" i="7" s="1"/>
  <c r="S64" i="6"/>
  <c r="K112" i="7" s="1"/>
  <c r="S102" i="6"/>
  <c r="K152" i="7" s="1"/>
  <c r="S186" i="6"/>
  <c r="K100" i="7" s="1"/>
  <c r="S52" i="6"/>
  <c r="K70" i="7" s="1"/>
  <c r="S168" i="6"/>
  <c r="K46" i="7" s="1"/>
  <c r="S123" i="6"/>
  <c r="K153" i="7" s="1"/>
  <c r="S14" i="6"/>
  <c r="K26" i="7" s="1"/>
  <c r="S74" i="6"/>
  <c r="K137" i="7" s="1"/>
  <c r="S139" i="6"/>
  <c r="K230" i="7" s="1"/>
  <c r="S175" i="6"/>
  <c r="K132" i="7" s="1"/>
  <c r="S106" i="6"/>
  <c r="S93" i="6"/>
  <c r="K155" i="7" s="1"/>
  <c r="S35" i="6"/>
  <c r="K49" i="7" s="1"/>
  <c r="S15" i="6"/>
  <c r="K27" i="7" s="1"/>
  <c r="S13" i="6"/>
  <c r="K48" i="7" s="1"/>
  <c r="S135" i="6"/>
  <c r="K53" i="7" s="1"/>
  <c r="S66" i="6"/>
  <c r="K84" i="7" s="1"/>
  <c r="S174" i="6"/>
  <c r="K165" i="7" s="1"/>
  <c r="S115" i="6"/>
  <c r="S69" i="6"/>
  <c r="K105" i="7" s="1"/>
  <c r="S159" i="6"/>
  <c r="K205" i="7" s="1"/>
  <c r="S188" i="6"/>
  <c r="K184" i="7" s="1"/>
  <c r="S231" i="6"/>
  <c r="S51" i="6"/>
  <c r="K68" i="7" s="1"/>
  <c r="S189" i="6"/>
  <c r="K141" i="7" s="1"/>
  <c r="S28" i="6"/>
  <c r="K93" i="7" s="1"/>
  <c r="S204" i="6"/>
  <c r="K179" i="7" s="1"/>
  <c r="S182" i="6"/>
  <c r="K150" i="7" s="1"/>
  <c r="S24" i="6"/>
  <c r="K151" i="7" s="1"/>
  <c r="S57" i="6"/>
  <c r="K191" i="7" s="1"/>
  <c r="S134" i="6"/>
  <c r="K21" i="7" s="1"/>
  <c r="S95" i="6"/>
  <c r="S197" i="6"/>
  <c r="K115" i="7" s="1"/>
  <c r="S207" i="6"/>
  <c r="K37" i="7" s="1"/>
  <c r="S156" i="6"/>
  <c r="K15" i="7" s="1"/>
  <c r="S84" i="6"/>
  <c r="K77" i="7" s="1"/>
  <c r="S208" i="6"/>
  <c r="K22" i="7" s="1"/>
  <c r="S75" i="6"/>
  <c r="K163" i="7" s="1"/>
  <c r="S49" i="6"/>
  <c r="K167" i="7" s="1"/>
  <c r="S23" i="6"/>
  <c r="K130" i="7" s="1"/>
  <c r="S65" i="6"/>
  <c r="K119" i="7" s="1"/>
  <c r="S163" i="6"/>
  <c r="K103" i="7" s="1"/>
  <c r="S136" i="6"/>
  <c r="K147" i="7" s="1"/>
  <c r="S46" i="6"/>
  <c r="K224" i="7" s="1"/>
  <c r="S137" i="6"/>
  <c r="K18" i="7" s="1"/>
  <c r="S34" i="6"/>
  <c r="K166" i="7" s="1"/>
  <c r="S179" i="6"/>
  <c r="K160" i="7" s="1"/>
  <c r="S30" i="6"/>
  <c r="S71" i="6"/>
  <c r="K98" i="7" s="1"/>
  <c r="S67" i="6"/>
  <c r="K133" i="7" s="1"/>
  <c r="S33" i="6"/>
  <c r="K96" i="7" s="1"/>
  <c r="S104" i="6"/>
  <c r="K104" i="7" s="1"/>
  <c r="S167" i="6"/>
  <c r="K225" i="7" s="1"/>
  <c r="S42" i="6"/>
  <c r="K204" i="7" s="1"/>
  <c r="S198" i="6"/>
  <c r="K173" i="7" s="1"/>
  <c r="S8" i="6"/>
  <c r="K149" i="7" s="1"/>
  <c r="S99" i="6"/>
  <c r="S90" i="6"/>
  <c r="K64" i="7" s="1"/>
  <c r="S150" i="6"/>
  <c r="K156" i="7" s="1"/>
  <c r="S160" i="6"/>
  <c r="K85" i="7" s="1"/>
  <c r="S36" i="6"/>
  <c r="K33" i="7" s="1"/>
  <c r="S37" i="6"/>
  <c r="K52" i="7" s="1"/>
  <c r="S91" i="6"/>
  <c r="K207" i="7" s="1"/>
  <c r="S97" i="6"/>
  <c r="K35" i="7" s="1"/>
  <c r="S73" i="6"/>
  <c r="K95" i="7" s="1"/>
  <c r="S153" i="6"/>
  <c r="K17" i="7" s="1"/>
  <c r="S213" i="6"/>
  <c r="K31" i="7" s="1"/>
  <c r="S114" i="6"/>
  <c r="K208" i="7" s="1"/>
  <c r="S205" i="6"/>
  <c r="K181" i="7" s="1"/>
  <c r="S59" i="6"/>
  <c r="K55" i="7" s="1"/>
  <c r="S62" i="6"/>
  <c r="K217" i="7" s="1"/>
  <c r="S227" i="6"/>
  <c r="K56" i="7" s="1"/>
  <c r="S47" i="6"/>
  <c r="K81" i="7" s="1"/>
  <c r="S151" i="6"/>
  <c r="K36" i="7" s="1"/>
  <c r="S39" i="6"/>
  <c r="K164" i="7" s="1"/>
  <c r="S26" i="6"/>
  <c r="K94" i="7" s="1"/>
  <c r="S50" i="6"/>
  <c r="K82" i="7" s="1"/>
  <c r="S48" i="6"/>
  <c r="K45" i="7" s="1"/>
  <c r="S143" i="6"/>
  <c r="K24" i="7" s="1"/>
  <c r="S193" i="6"/>
  <c r="K97" i="7" s="1"/>
  <c r="S22" i="6"/>
  <c r="K131" i="7" s="1"/>
  <c r="S96" i="6"/>
  <c r="K222" i="7" s="1"/>
  <c r="S27" i="6"/>
  <c r="K186" i="7" s="1"/>
  <c r="S122" i="6"/>
  <c r="K171" i="7" s="1"/>
  <c r="S194" i="6"/>
  <c r="K121" i="7" s="1"/>
  <c r="S76" i="6"/>
  <c r="K144" i="7" s="1"/>
  <c r="S98" i="6"/>
  <c r="K78" i="7" s="1"/>
  <c r="S92" i="6"/>
  <c r="K196" i="7" s="1"/>
  <c r="S16" i="6"/>
  <c r="K148" i="7" s="1"/>
  <c r="AB222" i="1"/>
  <c r="AA222" i="1"/>
  <c r="AA199" i="1"/>
  <c r="AB199" i="1"/>
  <c r="AB227" i="1"/>
  <c r="AA227" i="1"/>
  <c r="AB190" i="1"/>
  <c r="AA190" i="1"/>
  <c r="AA117" i="1"/>
  <c r="AB37" i="1"/>
  <c r="AA37" i="1"/>
  <c r="H142" i="7"/>
  <c r="H136" i="7"/>
  <c r="H143" i="7"/>
  <c r="H70" i="7"/>
  <c r="H15" i="7"/>
  <c r="H236" i="7"/>
  <c r="H29" i="7"/>
  <c r="H65" i="7"/>
  <c r="H108" i="7"/>
  <c r="H104" i="7"/>
  <c r="H19" i="7"/>
  <c r="H144" i="7"/>
  <c r="H139" i="7"/>
  <c r="H127" i="7"/>
  <c r="H120" i="7"/>
  <c r="H20" i="7"/>
  <c r="H191" i="7"/>
  <c r="H27" i="7"/>
  <c r="H112" i="7"/>
  <c r="H180" i="7"/>
  <c r="H134" i="7"/>
  <c r="H81" i="7"/>
  <c r="H103" i="7"/>
  <c r="J91" i="7"/>
  <c r="H187" i="7"/>
  <c r="H158" i="7"/>
  <c r="H233" i="7"/>
  <c r="H230" i="7"/>
  <c r="H166" i="7"/>
  <c r="H208" i="7"/>
  <c r="H86" i="7"/>
  <c r="H162" i="7"/>
  <c r="H135" i="7"/>
  <c r="H183" i="7"/>
  <c r="H217" i="7"/>
  <c r="H82" i="7"/>
  <c r="H109" i="7"/>
  <c r="H128" i="7"/>
  <c r="H216" i="7"/>
  <c r="H41" i="7"/>
  <c r="H25" i="7"/>
  <c r="H210" i="7"/>
  <c r="H218" i="7"/>
  <c r="H97" i="7"/>
  <c r="I53" i="7"/>
  <c r="H206" i="7"/>
  <c r="H175" i="7"/>
  <c r="H212" i="7"/>
  <c r="H76" i="7"/>
  <c r="H34" i="7"/>
  <c r="H153" i="7"/>
  <c r="H54" i="7"/>
  <c r="H237" i="7"/>
  <c r="H95" i="7"/>
  <c r="H231" i="7"/>
  <c r="H137" i="7"/>
  <c r="H105" i="7"/>
  <c r="H22" i="7"/>
  <c r="H88" i="7"/>
  <c r="H113" i="7"/>
  <c r="H124" i="7"/>
  <c r="H38" i="7"/>
  <c r="H111" i="7"/>
  <c r="H44" i="7"/>
  <c r="H90" i="7"/>
  <c r="H149" i="7"/>
  <c r="H224" i="7"/>
  <c r="H31" i="7"/>
  <c r="H164" i="7"/>
  <c r="I47" i="7"/>
  <c r="H198" i="7"/>
  <c r="H117" i="7"/>
  <c r="H197" i="7"/>
  <c r="H126" i="7"/>
  <c r="H91" i="7"/>
  <c r="H201" i="7"/>
  <c r="H16" i="7"/>
  <c r="H14" i="7"/>
  <c r="H87" i="7"/>
  <c r="H98" i="7"/>
  <c r="H57" i="7"/>
  <c r="H50" i="7"/>
  <c r="H40" i="7"/>
  <c r="H73" i="7"/>
  <c r="H219" i="7"/>
  <c r="H148" i="7"/>
  <c r="H189" i="7"/>
  <c r="H185" i="7"/>
  <c r="H102" i="7"/>
  <c r="H140" i="7"/>
  <c r="H33" i="7"/>
  <c r="H138" i="7"/>
  <c r="H161" i="7"/>
  <c r="H67" i="7"/>
  <c r="H141" i="7"/>
  <c r="H214" i="7"/>
  <c r="H12" i="7"/>
  <c r="H188" i="7"/>
  <c r="H121" i="7"/>
  <c r="H93" i="7"/>
  <c r="H181" i="7"/>
  <c r="H157" i="7"/>
  <c r="H227" i="7"/>
  <c r="H68" i="7"/>
  <c r="H110" i="7"/>
  <c r="H177" i="7"/>
  <c r="H47" i="7"/>
  <c r="H101" i="7"/>
  <c r="H92" i="7"/>
  <c r="H51" i="7"/>
  <c r="H52" i="7"/>
  <c r="H159" i="7"/>
  <c r="H123" i="7"/>
  <c r="H131" i="7"/>
  <c r="H213" i="7"/>
  <c r="H77" i="7"/>
  <c r="H39" i="7"/>
  <c r="H21" i="7"/>
  <c r="H119" i="7"/>
  <c r="H225" i="7"/>
  <c r="H28" i="7"/>
  <c r="H26" i="7"/>
  <c r="H36" i="7"/>
  <c r="H200" i="7"/>
  <c r="I52" i="7"/>
  <c r="H58" i="7"/>
  <c r="H156" i="7"/>
  <c r="H46" i="7"/>
  <c r="H147" i="7"/>
  <c r="H172" i="7"/>
  <c r="H235" i="7"/>
  <c r="H229" i="7"/>
  <c r="H32" i="7"/>
  <c r="H238" i="7"/>
  <c r="H89" i="7"/>
  <c r="H132" i="7"/>
  <c r="H55" i="7"/>
  <c r="H184" i="7"/>
  <c r="H18" i="7"/>
  <c r="H53" i="7"/>
  <c r="H176" i="7"/>
  <c r="H23" i="7"/>
  <c r="H122" i="7"/>
  <c r="H84" i="7"/>
  <c r="H107" i="7"/>
  <c r="H63" i="7"/>
  <c r="H205" i="7"/>
  <c r="H215" i="7"/>
  <c r="H204" i="7"/>
  <c r="H228" i="7"/>
  <c r="H163" i="7"/>
  <c r="H192" i="7"/>
  <c r="H48" i="7"/>
  <c r="H99" i="7"/>
  <c r="H152" i="7"/>
  <c r="H61" i="7"/>
  <c r="H195" i="7"/>
  <c r="H17" i="7"/>
  <c r="H133" i="7"/>
  <c r="H174" i="7"/>
  <c r="H30" i="7"/>
  <c r="H190" i="7"/>
  <c r="H234" i="7"/>
  <c r="H37" i="7"/>
  <c r="H96" i="7"/>
  <c r="H69" i="7"/>
  <c r="H165" i="7"/>
  <c r="H45" i="7"/>
  <c r="H75" i="7"/>
  <c r="H194" i="7"/>
  <c r="H182" i="7"/>
  <c r="H125" i="7"/>
  <c r="H71" i="7"/>
  <c r="H59" i="7"/>
  <c r="H13" i="7"/>
  <c r="H199" i="7"/>
  <c r="H179" i="7"/>
  <c r="H160" i="7"/>
  <c r="H167" i="7"/>
  <c r="H43" i="7"/>
  <c r="H85" i="7"/>
  <c r="H193" i="7"/>
  <c r="H49" i="7"/>
  <c r="H83" i="7"/>
  <c r="H56" i="7"/>
  <c r="H24" i="7"/>
  <c r="H209" i="7"/>
  <c r="H202" i="7"/>
  <c r="I190" i="7"/>
  <c r="H232" i="7"/>
  <c r="I30" i="7"/>
  <c r="J190" i="7"/>
  <c r="I123" i="7"/>
  <c r="I61" i="7"/>
  <c r="I139" i="7"/>
  <c r="J175" i="7"/>
  <c r="I90" i="7"/>
  <c r="J201" i="7"/>
  <c r="I187" i="7"/>
  <c r="J183" i="7"/>
  <c r="J88" i="7"/>
  <c r="J174" i="7"/>
  <c r="J147" i="7"/>
  <c r="J70" i="7"/>
  <c r="I181" i="7"/>
  <c r="I88" i="7"/>
  <c r="I176" i="7"/>
  <c r="I34" i="7"/>
  <c r="I233" i="7"/>
  <c r="I156" i="7"/>
  <c r="I147" i="7"/>
  <c r="I238" i="7"/>
  <c r="J121" i="7"/>
  <c r="J139" i="7"/>
  <c r="I95" i="7"/>
  <c r="J49" i="7"/>
  <c r="J210" i="7"/>
  <c r="I82" i="7"/>
  <c r="I167" i="7"/>
  <c r="J24" i="7"/>
  <c r="J181" i="7"/>
  <c r="J111" i="7"/>
  <c r="J182" i="7"/>
  <c r="J73" i="7"/>
  <c r="I14" i="7"/>
  <c r="J110" i="7"/>
  <c r="I55" i="7"/>
  <c r="I201" i="7"/>
  <c r="J85" i="7"/>
  <c r="I182" i="7"/>
  <c r="I141" i="7"/>
  <c r="I48" i="7"/>
  <c r="J65" i="7"/>
  <c r="J214" i="7"/>
  <c r="I208" i="7"/>
  <c r="J98" i="7"/>
  <c r="J57" i="7"/>
  <c r="J51" i="7"/>
  <c r="J52" i="7"/>
  <c r="I69" i="7"/>
  <c r="I32" i="7"/>
  <c r="I185" i="7"/>
  <c r="I214" i="7"/>
  <c r="I200" i="7"/>
  <c r="I98" i="7"/>
  <c r="J237" i="7"/>
  <c r="J87" i="7"/>
  <c r="I161" i="7"/>
  <c r="I12" i="7"/>
  <c r="J208" i="7"/>
  <c r="J164" i="7"/>
  <c r="I133" i="7"/>
  <c r="I49" i="7"/>
  <c r="I163" i="7"/>
  <c r="J233" i="7"/>
  <c r="I162" i="7"/>
  <c r="I164" i="7"/>
  <c r="J107" i="7"/>
  <c r="J161" i="7"/>
  <c r="I38" i="7"/>
  <c r="J30" i="7"/>
  <c r="J29" i="7"/>
  <c r="J82" i="7"/>
  <c r="I107" i="7"/>
  <c r="I194" i="7"/>
  <c r="J202" i="7"/>
  <c r="I134" i="7"/>
  <c r="I87" i="7"/>
  <c r="I227" i="7"/>
  <c r="J46" i="7"/>
  <c r="J67" i="7"/>
  <c r="J132" i="7"/>
  <c r="I237" i="7"/>
  <c r="I46" i="7"/>
  <c r="I195" i="7"/>
  <c r="J33" i="7"/>
  <c r="J61" i="7"/>
  <c r="J92" i="7"/>
  <c r="I174" i="7"/>
  <c r="I71" i="7"/>
  <c r="I75" i="7"/>
  <c r="I149" i="7"/>
  <c r="J31" i="7"/>
  <c r="J162" i="7"/>
  <c r="I43" i="7"/>
  <c r="J149" i="7"/>
  <c r="J228" i="7"/>
  <c r="I54" i="7"/>
  <c r="I138" i="7"/>
  <c r="J97" i="7"/>
  <c r="J32" i="7"/>
  <c r="J188" i="7"/>
  <c r="I231" i="7"/>
  <c r="I117" i="7"/>
  <c r="J59" i="7"/>
  <c r="J141" i="7"/>
  <c r="I189" i="7"/>
  <c r="I136" i="7"/>
  <c r="I215" i="7"/>
  <c r="I33" i="7"/>
  <c r="J215" i="7"/>
  <c r="J166" i="7"/>
  <c r="I192" i="7"/>
  <c r="J120" i="7"/>
  <c r="J187" i="7"/>
  <c r="I127" i="7"/>
  <c r="I102" i="7"/>
  <c r="I235" i="7"/>
  <c r="J234" i="7"/>
  <c r="J179" i="7"/>
  <c r="I67" i="7"/>
  <c r="I209" i="7"/>
  <c r="I63" i="7"/>
  <c r="I230" i="7"/>
  <c r="J124" i="7"/>
  <c r="J13" i="7"/>
  <c r="I57" i="7"/>
  <c r="I228" i="7"/>
  <c r="J225" i="7"/>
  <c r="J197" i="7"/>
  <c r="J142" i="7"/>
  <c r="I152" i="7"/>
  <c r="I50" i="7"/>
  <c r="I232" i="7"/>
  <c r="J193" i="7"/>
  <c r="J180" i="7"/>
  <c r="J230" i="7"/>
  <c r="J48" i="7"/>
  <c r="J53" i="7"/>
  <c r="J90" i="7"/>
  <c r="J216" i="7"/>
  <c r="J229" i="7"/>
  <c r="J125" i="7"/>
  <c r="I199" i="7"/>
  <c r="I128" i="7"/>
  <c r="I96" i="7"/>
  <c r="I188" i="7"/>
  <c r="I21" i="7"/>
  <c r="I86" i="7"/>
  <c r="I65" i="7"/>
  <c r="J40" i="7"/>
  <c r="I31" i="7"/>
  <c r="I125" i="7"/>
  <c r="I144" i="7"/>
  <c r="J37" i="7"/>
  <c r="J209" i="7"/>
  <c r="J117" i="7"/>
  <c r="J128" i="7"/>
  <c r="I177" i="7"/>
  <c r="I68" i="7"/>
  <c r="J157" i="7"/>
  <c r="I204" i="7"/>
  <c r="J16" i="7"/>
  <c r="I56" i="7"/>
  <c r="J22" i="7"/>
  <c r="J41" i="7"/>
  <c r="J232" i="7"/>
  <c r="I16" i="7"/>
  <c r="I22" i="7"/>
  <c r="J83" i="7"/>
  <c r="I23" i="7"/>
  <c r="J99" i="7"/>
  <c r="J23" i="7"/>
  <c r="I29" i="7"/>
  <c r="I119" i="7"/>
  <c r="I160" i="7"/>
  <c r="I41" i="7"/>
  <c r="J21" i="7"/>
  <c r="I37" i="7"/>
  <c r="J28" i="7"/>
  <c r="J43" i="7"/>
  <c r="J63" i="7"/>
  <c r="I36" i="7"/>
  <c r="I229" i="7"/>
  <c r="I183" i="7"/>
  <c r="I39" i="7"/>
  <c r="I13" i="7"/>
  <c r="J101" i="7"/>
  <c r="J191" i="7"/>
  <c r="I15" i="7"/>
  <c r="I58" i="7"/>
  <c r="I112" i="7"/>
  <c r="J76" i="7"/>
  <c r="I158" i="7"/>
  <c r="I73" i="7"/>
  <c r="J156" i="7"/>
  <c r="J44" i="7"/>
  <c r="J177" i="7"/>
  <c r="I109" i="7"/>
  <c r="I205" i="7"/>
  <c r="J95" i="7"/>
  <c r="J45" i="7"/>
  <c r="J81" i="7"/>
  <c r="J200" i="7"/>
  <c r="J26" i="7"/>
  <c r="J105" i="7"/>
  <c r="J165" i="7"/>
  <c r="J93" i="7"/>
  <c r="J189" i="7"/>
  <c r="I103" i="7"/>
  <c r="I206" i="7"/>
  <c r="I92" i="7"/>
  <c r="I193" i="7"/>
  <c r="J103" i="7"/>
  <c r="I180" i="7"/>
  <c r="J212" i="7"/>
  <c r="I159" i="7"/>
  <c r="I101" i="7"/>
  <c r="J58" i="7"/>
  <c r="J219" i="7"/>
  <c r="I108" i="7"/>
  <c r="I121" i="7"/>
  <c r="J36" i="7"/>
  <c r="J122" i="7"/>
  <c r="J14" i="7"/>
  <c r="J104" i="7"/>
  <c r="J75" i="7"/>
  <c r="J50" i="7"/>
  <c r="I85" i="7"/>
  <c r="I18" i="7"/>
  <c r="I219" i="7"/>
  <c r="I216" i="7"/>
  <c r="I142" i="7"/>
  <c r="J112" i="7"/>
  <c r="J176" i="7"/>
  <c r="J195" i="7"/>
  <c r="J204" i="7"/>
  <c r="I153" i="7"/>
  <c r="J55" i="7"/>
  <c r="I91" i="7"/>
  <c r="I140" i="7"/>
  <c r="J205" i="7"/>
  <c r="J18" i="7"/>
  <c r="J77" i="7"/>
  <c r="J163" i="7"/>
  <c r="J206" i="7"/>
  <c r="I210" i="7"/>
  <c r="I19" i="7"/>
  <c r="I111" i="7"/>
  <c r="J34" i="7"/>
  <c r="I137" i="7"/>
  <c r="I213" i="7"/>
  <c r="I59" i="7"/>
  <c r="I122" i="7"/>
  <c r="I51" i="7"/>
  <c r="I124" i="7"/>
  <c r="I202" i="7"/>
  <c r="I44" i="7"/>
  <c r="J123" i="7"/>
  <c r="J133" i="7"/>
  <c r="J25" i="7"/>
  <c r="J126" i="7"/>
  <c r="I172" i="7"/>
  <c r="J39" i="7"/>
  <c r="J144" i="7"/>
  <c r="J68" i="7"/>
  <c r="J12" i="7"/>
  <c r="I224" i="7"/>
  <c r="I27" i="7"/>
  <c r="I175" i="7"/>
  <c r="I191" i="7"/>
  <c r="I148" i="7"/>
  <c r="I165" i="7"/>
  <c r="I217" i="7"/>
  <c r="I84" i="7"/>
  <c r="I93" i="7"/>
  <c r="J86" i="7"/>
  <c r="I218" i="7"/>
  <c r="I81" i="7"/>
  <c r="J148" i="7"/>
  <c r="J56" i="7"/>
  <c r="I135" i="7"/>
  <c r="J218" i="7"/>
  <c r="J140" i="7"/>
  <c r="J102" i="7"/>
  <c r="J153" i="7"/>
  <c r="J143" i="7"/>
  <c r="J134" i="7"/>
  <c r="J217" i="7"/>
  <c r="J131" i="7"/>
  <c r="J160" i="7"/>
  <c r="I25" i="7"/>
  <c r="I104" i="7"/>
  <c r="I166" i="7"/>
  <c r="I197" i="7"/>
  <c r="J109" i="7"/>
  <c r="J136" i="7"/>
  <c r="I131" i="7"/>
  <c r="J172" i="7"/>
  <c r="I89" i="7"/>
  <c r="I234" i="7"/>
  <c r="I184" i="7"/>
  <c r="I120" i="7"/>
  <c r="J167" i="7"/>
  <c r="J158" i="7"/>
  <c r="J69" i="7"/>
  <c r="J231" i="7"/>
  <c r="J15" i="7"/>
  <c r="J238" i="7"/>
  <c r="J96" i="7"/>
  <c r="J137" i="7"/>
  <c r="J38" i="7"/>
  <c r="J113" i="7"/>
  <c r="I225" i="7"/>
  <c r="I77" i="7"/>
  <c r="I113" i="7"/>
  <c r="I132" i="7"/>
  <c r="I76" i="7"/>
  <c r="I26" i="7"/>
  <c r="I28" i="7"/>
  <c r="J89" i="7"/>
  <c r="I45" i="7"/>
  <c r="J199" i="7"/>
  <c r="I126" i="7"/>
  <c r="J235" i="7"/>
  <c r="J192" i="7"/>
  <c r="I110" i="7"/>
  <c r="I99" i="7"/>
  <c r="I24" i="7"/>
  <c r="I212" i="7"/>
  <c r="I198" i="7"/>
  <c r="J84" i="7"/>
  <c r="J152" i="7"/>
  <c r="J19" i="7"/>
  <c r="J185" i="7"/>
  <c r="J194" i="7"/>
  <c r="J138" i="7"/>
  <c r="I143" i="7"/>
  <c r="I97" i="7"/>
  <c r="I105" i="7"/>
  <c r="I179" i="7"/>
  <c r="I40" i="7"/>
  <c r="J119" i="7"/>
  <c r="I83" i="7"/>
  <c r="J54" i="7"/>
  <c r="I70" i="7"/>
  <c r="I157" i="7"/>
  <c r="J184" i="7"/>
  <c r="I17" i="7"/>
  <c r="J236" i="7"/>
  <c r="J198" i="7"/>
  <c r="I20" i="7"/>
  <c r="J20" i="7"/>
  <c r="J27" i="7"/>
  <c r="J108" i="7"/>
  <c r="J47" i="7"/>
  <c r="J71" i="7"/>
  <c r="J127" i="7"/>
  <c r="J224" i="7"/>
  <c r="J135" i="7"/>
  <c r="J213" i="7"/>
  <c r="J17" i="7"/>
  <c r="J227" i="7"/>
  <c r="I236" i="7"/>
  <c r="J159" i="7"/>
  <c r="AB180" i="1"/>
  <c r="AA180" i="1"/>
  <c r="AB205" i="1"/>
  <c r="AA205" i="1"/>
  <c r="K234" i="7" l="1"/>
  <c r="K178" i="7"/>
  <c r="K79" i="7"/>
  <c r="K127" i="7"/>
  <c r="K60" i="7"/>
  <c r="K169" i="7"/>
  <c r="K107" i="7"/>
  <c r="K221" i="7"/>
  <c r="K106" i="7"/>
  <c r="K202" i="7"/>
  <c r="K211" i="7"/>
  <c r="K237" i="7"/>
  <c r="K42" i="7"/>
  <c r="K62" i="7"/>
  <c r="K170" i="7"/>
  <c r="K66" i="7"/>
  <c r="K72" i="7"/>
  <c r="K159" i="7"/>
  <c r="K238" i="7"/>
  <c r="K80" i="7"/>
  <c r="K145" i="7"/>
  <c r="K194" i="7"/>
  <c r="K154" i="7"/>
  <c r="K114" i="7"/>
  <c r="K203" i="7"/>
  <c r="K63" i="7"/>
  <c r="K190" i="7"/>
  <c r="Z20" i="1"/>
  <c r="Y20" i="1"/>
  <c r="S5" i="1"/>
  <c r="U5" i="1"/>
  <c r="S6" i="1"/>
  <c r="S7" i="1"/>
  <c r="S8" i="1"/>
  <c r="U8" i="1"/>
  <c r="S9" i="1"/>
  <c r="S10" i="1"/>
  <c r="S11" i="1"/>
  <c r="S12" i="1"/>
  <c r="S13" i="1"/>
  <c r="S14" i="1"/>
  <c r="S15" i="1"/>
  <c r="S16" i="1"/>
  <c r="S20" i="1"/>
  <c r="S21" i="1"/>
  <c r="S22" i="1"/>
  <c r="S23" i="1"/>
  <c r="S24" i="1"/>
  <c r="S25" i="1"/>
  <c r="S27" i="1"/>
  <c r="S28" i="1"/>
  <c r="S29" i="1"/>
  <c r="S30" i="1"/>
  <c r="S32" i="1"/>
  <c r="S33" i="1"/>
  <c r="S34" i="1"/>
  <c r="S35" i="1"/>
  <c r="S39" i="1"/>
  <c r="S40" i="1"/>
  <c r="S41" i="1"/>
  <c r="S42" i="1"/>
  <c r="S44" i="1"/>
  <c r="S45" i="1"/>
  <c r="S46" i="1"/>
  <c r="S47" i="1"/>
  <c r="S48" i="1"/>
  <c r="S49" i="1"/>
  <c r="S50" i="1"/>
  <c r="S51" i="1"/>
  <c r="S52" i="1"/>
  <c r="S53" i="1"/>
  <c r="S54" i="1"/>
  <c r="S55" i="1"/>
  <c r="S56" i="1"/>
  <c r="S57" i="1"/>
  <c r="S61" i="1"/>
  <c r="S62" i="1"/>
  <c r="S63" i="1"/>
  <c r="U63" i="1"/>
  <c r="S64" i="1"/>
  <c r="S65" i="1"/>
  <c r="S66" i="1"/>
  <c r="S67" i="1"/>
  <c r="S68" i="1"/>
  <c r="S69" i="1"/>
  <c r="U69" i="1"/>
  <c r="S70" i="1"/>
  <c r="U70" i="1"/>
  <c r="S71" i="1"/>
  <c r="U71" i="1"/>
  <c r="S72" i="1"/>
  <c r="U72" i="1"/>
  <c r="S73" i="1"/>
  <c r="S74" i="1"/>
  <c r="S75" i="1"/>
  <c r="S76" i="1"/>
  <c r="S77" i="1"/>
  <c r="S78" i="1"/>
  <c r="S80" i="1"/>
  <c r="S81" i="1"/>
  <c r="S82" i="1"/>
  <c r="U82" i="1"/>
  <c r="S83" i="1"/>
  <c r="S84" i="1"/>
  <c r="S85" i="1"/>
  <c r="S86" i="1"/>
  <c r="S87" i="1"/>
  <c r="S88" i="1"/>
  <c r="U88" i="1"/>
  <c r="S89" i="1"/>
  <c r="S90" i="1"/>
  <c r="S91" i="1"/>
  <c r="S92" i="1"/>
  <c r="S93" i="1"/>
  <c r="U93" i="1"/>
  <c r="S94" i="1"/>
  <c r="U94" i="1"/>
  <c r="S95" i="1"/>
  <c r="S96" i="1"/>
  <c r="S97" i="1"/>
  <c r="S98" i="1"/>
  <c r="S99" i="1"/>
  <c r="S100" i="1"/>
  <c r="S101" i="1"/>
  <c r="S102" i="1"/>
  <c r="S103" i="1"/>
  <c r="S104" i="1"/>
  <c r="S105" i="1"/>
  <c r="S106" i="1"/>
  <c r="S107" i="1"/>
  <c r="S108" i="1"/>
  <c r="U108" i="1"/>
  <c r="S109" i="1"/>
  <c r="S110" i="1"/>
  <c r="S111" i="1"/>
  <c r="S112" i="1"/>
  <c r="S113" i="1"/>
  <c r="S114" i="1"/>
  <c r="S115" i="1"/>
  <c r="U115" i="1"/>
  <c r="U116" i="1"/>
  <c r="S118" i="1"/>
  <c r="U119" i="1"/>
  <c r="S120" i="1"/>
  <c r="U120" i="1"/>
  <c r="S121" i="1"/>
  <c r="U121" i="1"/>
  <c r="S124" i="1"/>
  <c r="S125" i="1"/>
  <c r="S126" i="1"/>
  <c r="S127" i="1"/>
  <c r="S128" i="1"/>
  <c r="S129" i="1"/>
  <c r="S130" i="1"/>
  <c r="S131" i="1"/>
  <c r="S132" i="1"/>
  <c r="AB20" i="1" l="1"/>
  <c r="AA20" i="1"/>
  <c r="Y131" i="1"/>
  <c r="Z131" i="1"/>
  <c r="Z23" i="1"/>
  <c r="Y23" i="1"/>
  <c r="Y6" i="1" l="1"/>
  <c r="Z6" i="1"/>
  <c r="Y7" i="1"/>
  <c r="Z7" i="1"/>
  <c r="Y8" i="1"/>
  <c r="Z8" i="1"/>
  <c r="Y9" i="1"/>
  <c r="Z9" i="1"/>
  <c r="Y10" i="1"/>
  <c r="Z10" i="1"/>
  <c r="Y11" i="1"/>
  <c r="Z11" i="1"/>
  <c r="Y12" i="1"/>
  <c r="Z12" i="1"/>
  <c r="Y13" i="1"/>
  <c r="Z13" i="1"/>
  <c r="Y14" i="1"/>
  <c r="Z14" i="1"/>
  <c r="Y15" i="1"/>
  <c r="Z15" i="1"/>
  <c r="Y16" i="1"/>
  <c r="Z16" i="1"/>
  <c r="Y17" i="1"/>
  <c r="Z17" i="1"/>
  <c r="Y19" i="1"/>
  <c r="Z19" i="1"/>
  <c r="Y21" i="1"/>
  <c r="Z21" i="1"/>
  <c r="Y22" i="1"/>
  <c r="Z22" i="1"/>
  <c r="AB22" i="1" s="1"/>
  <c r="Y24" i="1"/>
  <c r="Z24" i="1"/>
  <c r="Y25" i="1"/>
  <c r="Z25" i="1"/>
  <c r="Y26" i="1"/>
  <c r="Z26" i="1"/>
  <c r="Y27" i="1"/>
  <c r="Z27" i="1"/>
  <c r="Y28" i="1"/>
  <c r="Z28" i="1"/>
  <c r="Y29" i="1"/>
  <c r="Z29" i="1"/>
  <c r="Y30" i="1"/>
  <c r="Z30" i="1"/>
  <c r="Y31" i="1"/>
  <c r="Z31" i="1"/>
  <c r="Y32" i="1"/>
  <c r="Z32" i="1"/>
  <c r="Y33" i="1"/>
  <c r="Z33" i="1"/>
  <c r="Y34" i="1"/>
  <c r="Z34" i="1"/>
  <c r="Y35" i="1"/>
  <c r="Z35" i="1"/>
  <c r="Y39" i="1"/>
  <c r="Z39" i="1"/>
  <c r="Y40" i="1"/>
  <c r="Z40" i="1"/>
  <c r="Y41" i="1"/>
  <c r="Z41" i="1"/>
  <c r="Y42" i="1"/>
  <c r="Z42"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AB57" i="1" s="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AA115" i="1" s="1"/>
  <c r="Z115" i="1"/>
  <c r="Y116" i="1"/>
  <c r="Z116" i="1"/>
  <c r="Y118" i="1"/>
  <c r="Z118" i="1"/>
  <c r="Y119" i="1"/>
  <c r="Z119" i="1"/>
  <c r="Y120" i="1"/>
  <c r="Z120" i="1"/>
  <c r="Y121" i="1"/>
  <c r="Z121" i="1"/>
  <c r="Y122" i="1"/>
  <c r="Z122" i="1"/>
  <c r="Y124" i="1"/>
  <c r="Z124" i="1"/>
  <c r="Y125" i="1"/>
  <c r="Z125" i="1"/>
  <c r="Y126" i="1"/>
  <c r="Z126" i="1"/>
  <c r="Y127" i="1"/>
  <c r="Z127" i="1"/>
  <c r="Y128" i="1"/>
  <c r="Z128" i="1"/>
  <c r="Y129" i="1"/>
  <c r="Z129" i="1"/>
  <c r="Y130" i="1"/>
  <c r="Z130" i="1"/>
  <c r="Y132" i="1"/>
  <c r="Z5" i="1"/>
  <c r="AB32" i="1" l="1"/>
  <c r="AB8" i="1"/>
  <c r="AA121" i="1"/>
  <c r="AA94" i="1"/>
  <c r="AA82" i="1"/>
  <c r="AA79" i="1"/>
  <c r="AA72" i="1"/>
  <c r="AA61" i="1"/>
  <c r="AA119" i="1"/>
  <c r="AA108" i="1"/>
  <c r="AA93" i="1"/>
  <c r="AA90" i="1"/>
  <c r="AA66" i="1"/>
  <c r="AA116" i="1"/>
  <c r="AB31" i="1"/>
  <c r="AB82" i="1"/>
  <c r="AA32" i="1"/>
  <c r="AB72" i="1"/>
  <c r="AA86" i="1"/>
  <c r="AA69" i="1"/>
  <c r="AB79" i="1"/>
  <c r="AB61" i="1"/>
  <c r="AA63" i="1"/>
  <c r="AB63" i="1"/>
  <c r="AA120" i="1"/>
  <c r="AB120" i="1"/>
  <c r="AA91" i="1"/>
  <c r="AB91" i="1"/>
  <c r="AA70" i="1"/>
  <c r="AB70" i="1"/>
  <c r="AA27" i="1"/>
  <c r="AB27" i="1"/>
  <c r="AA71" i="1"/>
  <c r="AB71" i="1"/>
  <c r="AB90" i="1"/>
  <c r="AB69" i="1"/>
  <c r="AA22" i="1"/>
  <c r="AB121" i="1"/>
  <c r="AB119" i="1"/>
  <c r="AB116" i="1"/>
  <c r="AB115" i="1"/>
  <c r="AB108" i="1"/>
  <c r="AB94" i="1"/>
  <c r="AA8" i="1"/>
  <c r="AB93" i="1"/>
  <c r="AB86" i="1"/>
  <c r="AB66" i="1"/>
  <c r="AA26" i="1"/>
  <c r="AB26" i="1"/>
  <c r="AA31" i="1"/>
  <c r="D37" i="4"/>
  <c r="F88" i="5"/>
  <c r="D30" i="4" s="1"/>
  <c r="F87" i="5"/>
  <c r="F85" i="5"/>
  <c r="F84" i="5"/>
  <c r="F83" i="5"/>
  <c r="F82" i="5"/>
  <c r="F81" i="5"/>
  <c r="F80" i="5"/>
  <c r="F79" i="5"/>
  <c r="F78" i="5"/>
  <c r="E77" i="5"/>
  <c r="D77" i="5"/>
  <c r="F76" i="5"/>
  <c r="F75" i="5"/>
  <c r="F74" i="5"/>
  <c r="F73" i="5"/>
  <c r="F72" i="5"/>
  <c r="F71" i="5"/>
  <c r="F70" i="5"/>
  <c r="E69" i="5"/>
  <c r="D69" i="5"/>
  <c r="F68" i="5"/>
  <c r="F67" i="5"/>
  <c r="F66" i="5"/>
  <c r="F65" i="5"/>
  <c r="E64" i="5"/>
  <c r="D64" i="5"/>
  <c r="F63" i="5"/>
  <c r="F62" i="5"/>
  <c r="F61" i="5"/>
  <c r="F60" i="5"/>
  <c r="F59" i="5"/>
  <c r="F58" i="5"/>
  <c r="F57" i="5"/>
  <c r="F56" i="5"/>
  <c r="E55" i="5"/>
  <c r="D55" i="5"/>
  <c r="F54" i="5"/>
  <c r="F53" i="5"/>
  <c r="F52" i="5"/>
  <c r="F51" i="5"/>
  <c r="F50" i="5"/>
  <c r="F49" i="5"/>
  <c r="F48" i="5"/>
  <c r="E47" i="5"/>
  <c r="D47" i="5"/>
  <c r="F46" i="5"/>
  <c r="F45" i="5"/>
  <c r="F44" i="5"/>
  <c r="F43" i="5"/>
  <c r="F42" i="5"/>
  <c r="E41" i="5"/>
  <c r="D41" i="5"/>
  <c r="F35" i="5"/>
  <c r="D19" i="4" s="1"/>
  <c r="F28" i="5"/>
  <c r="D12" i="4" s="1"/>
  <c r="F27" i="5"/>
  <c r="F26" i="5"/>
  <c r="D11" i="4" s="1"/>
  <c r="F25" i="5"/>
  <c r="D10" i="4" s="1"/>
  <c r="F24" i="5"/>
  <c r="D8" i="4" s="1"/>
  <c r="T162" i="1" s="1"/>
  <c r="U162" i="1" s="1"/>
  <c r="F23" i="5"/>
  <c r="D6" i="4" s="1"/>
  <c r="F21" i="5"/>
  <c r="F20" i="5"/>
  <c r="F19" i="5"/>
  <c r="F18" i="5"/>
  <c r="F17" i="5"/>
  <c r="F16" i="5"/>
  <c r="F15" i="5"/>
  <c r="F14" i="5"/>
  <c r="E13" i="5"/>
  <c r="D13" i="5"/>
  <c r="F12" i="5"/>
  <c r="F11" i="5"/>
  <c r="F10" i="5"/>
  <c r="F9" i="5"/>
  <c r="F8" i="5"/>
  <c r="E7" i="5"/>
  <c r="D7" i="5"/>
  <c r="F6" i="5"/>
  <c r="F5" i="5"/>
  <c r="F4" i="5"/>
  <c r="F3" i="5"/>
  <c r="E2" i="5"/>
  <c r="D2" i="5"/>
  <c r="T18" i="1" l="1"/>
  <c r="T10" i="1"/>
  <c r="T11" i="1"/>
  <c r="AB162" i="1"/>
  <c r="AA162" i="1"/>
  <c r="T14" i="1"/>
  <c r="T15" i="1"/>
  <c r="T16" i="1"/>
  <c r="T33" i="1"/>
  <c r="T35" i="1"/>
  <c r="T36" i="1"/>
  <c r="T39" i="1"/>
  <c r="T41" i="1"/>
  <c r="T42" i="1"/>
  <c r="T44" i="1"/>
  <c r="T47" i="1"/>
  <c r="T49" i="1"/>
  <c r="T53" i="1"/>
  <c r="T55" i="1"/>
  <c r="T84" i="1"/>
  <c r="T113" i="1"/>
  <c r="T122" i="1"/>
  <c r="T183" i="1"/>
  <c r="T189" i="1"/>
  <c r="T192" i="1"/>
  <c r="T12" i="1"/>
  <c r="T6" i="1"/>
  <c r="T95" i="1"/>
  <c r="T97" i="1"/>
  <c r="T99" i="1"/>
  <c r="T101" i="1"/>
  <c r="T103" i="1"/>
  <c r="T111" i="1"/>
  <c r="T123" i="1"/>
  <c r="U123" i="1" s="1"/>
  <c r="T124" i="1"/>
  <c r="T163" i="1"/>
  <c r="T171" i="1"/>
  <c r="T175" i="1"/>
  <c r="T187" i="1"/>
  <c r="AA19" i="1"/>
  <c r="T19" i="1"/>
  <c r="T21" i="1"/>
  <c r="T34" i="1"/>
  <c r="T67" i="1"/>
  <c r="T68" i="1"/>
  <c r="T80" i="1"/>
  <c r="T109" i="1"/>
  <c r="T172" i="1"/>
  <c r="T174" i="1"/>
  <c r="T17" i="1"/>
  <c r="T89" i="1"/>
  <c r="T233" i="1"/>
  <c r="U233" i="1" s="1"/>
  <c r="AB233" i="1"/>
  <c r="AA233" i="1"/>
  <c r="AB123" i="1"/>
  <c r="AA123" i="1"/>
  <c r="AB19" i="1"/>
  <c r="U189" i="1"/>
  <c r="U191" i="1"/>
  <c r="U192" i="1"/>
  <c r="U183" i="1"/>
  <c r="U36" i="1"/>
  <c r="U187" i="1"/>
  <c r="U175" i="1"/>
  <c r="U163" i="1"/>
  <c r="AB163" i="1" s="1"/>
  <c r="U171" i="1"/>
  <c r="AA18" i="1"/>
  <c r="AB18" i="1"/>
  <c r="U122" i="1"/>
  <c r="AB122" i="1" s="1"/>
  <c r="U174" i="1"/>
  <c r="U172" i="1"/>
  <c r="F64" i="5"/>
  <c r="D33" i="4" s="1"/>
  <c r="T234" i="1" s="1"/>
  <c r="U234" i="1" s="1"/>
  <c r="U47" i="1"/>
  <c r="U49" i="1"/>
  <c r="U53" i="1"/>
  <c r="U55" i="1"/>
  <c r="U84" i="1"/>
  <c r="U33" i="1"/>
  <c r="U14" i="1"/>
  <c r="U35" i="1"/>
  <c r="AB35" i="1" s="1"/>
  <c r="U44" i="1"/>
  <c r="U16" i="1"/>
  <c r="U6" i="1"/>
  <c r="U12" i="1"/>
  <c r="U95" i="1"/>
  <c r="U124" i="1"/>
  <c r="U99" i="1"/>
  <c r="U111" i="1"/>
  <c r="U11" i="1"/>
  <c r="U34" i="1"/>
  <c r="U80" i="1"/>
  <c r="U109" i="1"/>
  <c r="U67" i="1"/>
  <c r="U89" i="1"/>
  <c r="F2" i="5"/>
  <c r="D2" i="4" s="1"/>
  <c r="F77" i="5"/>
  <c r="D35" i="4" s="1"/>
  <c r="F7" i="5"/>
  <c r="D3" i="4" s="1"/>
  <c r="F41" i="5"/>
  <c r="D26" i="4" s="1"/>
  <c r="T218" i="1" s="1"/>
  <c r="F55" i="5"/>
  <c r="D28" i="4" s="1"/>
  <c r="F13" i="5"/>
  <c r="D4" i="4" s="1"/>
  <c r="F47" i="5"/>
  <c r="D27" i="4" s="1"/>
  <c r="F69" i="5"/>
  <c r="D34" i="4" s="1"/>
  <c r="T226" i="1" l="1"/>
  <c r="T201" i="1"/>
  <c r="T225" i="1"/>
  <c r="T229" i="1"/>
  <c r="T136" i="1"/>
  <c r="T155" i="1"/>
  <c r="T156" i="1"/>
  <c r="T214" i="1"/>
  <c r="T215" i="1"/>
  <c r="T216" i="1"/>
  <c r="T217" i="1"/>
  <c r="T25" i="1"/>
  <c r="T30" i="1"/>
  <c r="T51" i="1"/>
  <c r="T52" i="1"/>
  <c r="T75" i="1"/>
  <c r="T76" i="1"/>
  <c r="T77" i="1"/>
  <c r="T83" i="1"/>
  <c r="T92" i="1"/>
  <c r="T105" i="1"/>
  <c r="T106" i="1"/>
  <c r="T107" i="1"/>
  <c r="T110" i="1"/>
  <c r="T118" i="1"/>
  <c r="T9" i="1"/>
  <c r="T7" i="1"/>
  <c r="T28" i="1"/>
  <c r="T137" i="1"/>
  <c r="T114" i="1"/>
  <c r="T223" i="1"/>
  <c r="T24" i="1"/>
  <c r="T78" i="1"/>
  <c r="T81" i="1"/>
  <c r="T125" i="1"/>
  <c r="T130" i="1"/>
  <c r="T167" i="1"/>
  <c r="T73" i="1"/>
  <c r="T210" i="1"/>
  <c r="U210" i="1" s="1"/>
  <c r="T178" i="1"/>
  <c r="T23" i="1"/>
  <c r="T29" i="1"/>
  <c r="T40" i="1"/>
  <c r="T43" i="1"/>
  <c r="T45" i="1"/>
  <c r="T46" i="1"/>
  <c r="T48" i="1"/>
  <c r="T50" i="1"/>
  <c r="T54" i="1"/>
  <c r="T56" i="1"/>
  <c r="T57" i="1"/>
  <c r="T58" i="1"/>
  <c r="U58" i="1" s="1"/>
  <c r="AA58" i="1" s="1"/>
  <c r="T85" i="1"/>
  <c r="T96" i="1"/>
  <c r="T98" i="1"/>
  <c r="T100" i="1"/>
  <c r="T102" i="1"/>
  <c r="T104" i="1"/>
  <c r="T112" i="1"/>
  <c r="T126" i="1"/>
  <c r="T127" i="1"/>
  <c r="T128" i="1"/>
  <c r="T129" i="1"/>
  <c r="T148" i="1"/>
  <c r="T150" i="1"/>
  <c r="T154" i="1"/>
  <c r="T168" i="1"/>
  <c r="T169" i="1"/>
  <c r="T176" i="1"/>
  <c r="T188" i="1"/>
  <c r="T193" i="1"/>
  <c r="T13" i="1"/>
  <c r="AB234" i="1"/>
  <c r="AA234" i="1"/>
  <c r="D18" i="4"/>
  <c r="U229" i="1"/>
  <c r="U225" i="1"/>
  <c r="U226" i="1"/>
  <c r="U136" i="1"/>
  <c r="AB136" i="1" s="1"/>
  <c r="U216" i="1"/>
  <c r="U217" i="1"/>
  <c r="U218" i="1"/>
  <c r="U167" i="1"/>
  <c r="AA167" i="1" s="1"/>
  <c r="U223" i="1"/>
  <c r="AB21" i="1"/>
  <c r="AB113" i="1"/>
  <c r="U201" i="1"/>
  <c r="U214" i="1"/>
  <c r="U215" i="1"/>
  <c r="AB210" i="1"/>
  <c r="AA210" i="1"/>
  <c r="U43" i="1"/>
  <c r="AA43" i="1" s="1"/>
  <c r="U188" i="1"/>
  <c r="U193" i="1"/>
  <c r="U178" i="1"/>
  <c r="U176" i="1"/>
  <c r="AB174" i="1"/>
  <c r="AA174" i="1"/>
  <c r="AB175" i="1"/>
  <c r="AA175" i="1"/>
  <c r="AB187" i="1"/>
  <c r="AA187" i="1"/>
  <c r="AB36" i="1"/>
  <c r="AA36" i="1"/>
  <c r="AB183" i="1"/>
  <c r="AA183" i="1"/>
  <c r="AB192" i="1"/>
  <c r="AA192" i="1"/>
  <c r="AB191" i="1"/>
  <c r="AA191" i="1"/>
  <c r="AB189" i="1"/>
  <c r="AA189" i="1"/>
  <c r="AB172" i="1"/>
  <c r="AA172" i="1"/>
  <c r="AA163" i="1"/>
  <c r="AB171" i="1"/>
  <c r="AA171" i="1"/>
  <c r="AA122" i="1"/>
  <c r="U155" i="1"/>
  <c r="U156" i="1"/>
  <c r="U28" i="1"/>
  <c r="AA28" i="1" s="1"/>
  <c r="U137" i="1"/>
  <c r="U148" i="1"/>
  <c r="U150" i="1"/>
  <c r="U154" i="1"/>
  <c r="U168" i="1"/>
  <c r="U169" i="1"/>
  <c r="U25" i="1"/>
  <c r="U30" i="1"/>
  <c r="U51" i="1"/>
  <c r="U76" i="1"/>
  <c r="U92" i="1"/>
  <c r="U106" i="1"/>
  <c r="U110" i="1"/>
  <c r="U83" i="1"/>
  <c r="U105" i="1"/>
  <c r="U7" i="1"/>
  <c r="U52" i="1"/>
  <c r="U75" i="1"/>
  <c r="U77" i="1"/>
  <c r="U107" i="1"/>
  <c r="U73" i="1"/>
  <c r="AB73" i="1" s="1"/>
  <c r="U45" i="1"/>
  <c r="U57" i="1"/>
  <c r="U96" i="1"/>
  <c r="U100" i="1"/>
  <c r="U112" i="1"/>
  <c r="U127" i="1"/>
  <c r="U129" i="1"/>
  <c r="U29" i="1"/>
  <c r="U46" i="1"/>
  <c r="U50" i="1"/>
  <c r="U54" i="1"/>
  <c r="U13" i="1"/>
  <c r="U23" i="1"/>
  <c r="AA23" i="1" s="1"/>
  <c r="U48" i="1"/>
  <c r="U56" i="1"/>
  <c r="U85" i="1"/>
  <c r="U126" i="1"/>
  <c r="U128" i="1"/>
  <c r="U78" i="1"/>
  <c r="U114" i="1"/>
  <c r="U125" i="1"/>
  <c r="U81" i="1"/>
  <c r="U130" i="1"/>
  <c r="U24" i="1"/>
  <c r="F86" i="5"/>
  <c r="D36" i="4" s="1"/>
  <c r="AA55" i="1"/>
  <c r="AB55" i="1"/>
  <c r="AB12" i="1"/>
  <c r="AA12" i="1"/>
  <c r="AA84" i="1"/>
  <c r="AB84" i="1"/>
  <c r="AA14" i="1"/>
  <c r="AB14" i="1"/>
  <c r="AA88" i="1"/>
  <c r="AB88" i="1"/>
  <c r="AB10" i="1"/>
  <c r="AA10" i="1"/>
  <c r="AB97" i="1"/>
  <c r="AA97" i="1"/>
  <c r="AA95" i="1"/>
  <c r="AB95" i="1"/>
  <c r="AA109" i="1"/>
  <c r="AB109" i="1"/>
  <c r="AA47" i="1"/>
  <c r="AB47" i="1"/>
  <c r="AA42" i="1"/>
  <c r="AB42" i="1"/>
  <c r="AA53" i="1"/>
  <c r="AB53" i="1"/>
  <c r="AB6" i="1"/>
  <c r="AA6" i="1"/>
  <c r="AB11" i="1"/>
  <c r="AA11" i="1"/>
  <c r="AA124" i="1"/>
  <c r="AB124" i="1"/>
  <c r="AA68" i="1"/>
  <c r="AB68" i="1"/>
  <c r="AB39" i="1"/>
  <c r="AA39" i="1"/>
  <c r="AA35" i="1"/>
  <c r="AA49" i="1"/>
  <c r="AB49" i="1"/>
  <c r="AA17" i="1"/>
  <c r="AB17" i="1"/>
  <c r="AB87" i="1"/>
  <c r="AA87" i="1"/>
  <c r="AB111" i="1"/>
  <c r="AA111" i="1"/>
  <c r="AA103" i="1"/>
  <c r="AB103" i="1"/>
  <c r="AB80" i="1"/>
  <c r="AA80" i="1"/>
  <c r="AA67" i="1"/>
  <c r="AB67" i="1"/>
  <c r="AB44" i="1"/>
  <c r="AA44" i="1"/>
  <c r="AB33" i="1"/>
  <c r="AA33" i="1"/>
  <c r="AA16" i="1"/>
  <c r="AB16" i="1"/>
  <c r="AA15" i="1"/>
  <c r="AB15" i="1"/>
  <c r="AA41" i="1"/>
  <c r="AB41" i="1"/>
  <c r="AA89" i="1"/>
  <c r="AB89" i="1"/>
  <c r="AA101" i="1"/>
  <c r="AB101" i="1"/>
  <c r="AA99" i="1"/>
  <c r="AB99" i="1"/>
  <c r="AA21" i="1"/>
  <c r="AB34" i="1"/>
  <c r="AA34" i="1"/>
  <c r="Y5" i="1"/>
  <c r="T74" i="1" l="1"/>
  <c r="U74" i="1" s="1"/>
  <c r="AA74" i="1" s="1"/>
  <c r="T139" i="1"/>
  <c r="T203" i="1"/>
  <c r="T221" i="1"/>
  <c r="T62" i="1"/>
  <c r="T64" i="1"/>
  <c r="T65" i="1"/>
  <c r="T131" i="1"/>
  <c r="T208" i="1"/>
  <c r="T209" i="1"/>
  <c r="AA136" i="1"/>
  <c r="AB218" i="1"/>
  <c r="AA218" i="1"/>
  <c r="U203" i="1"/>
  <c r="AB203" i="1" s="1"/>
  <c r="U221" i="1"/>
  <c r="AB223" i="1"/>
  <c r="AA223" i="1"/>
  <c r="AB167" i="1"/>
  <c r="AA113" i="1"/>
  <c r="AB43" i="1"/>
  <c r="U139" i="1"/>
  <c r="AB139" i="1" s="1"/>
  <c r="U208" i="1"/>
  <c r="U209" i="1"/>
  <c r="AB176" i="1"/>
  <c r="AA176" i="1"/>
  <c r="AB178" i="1"/>
  <c r="AA178" i="1"/>
  <c r="AB193" i="1"/>
  <c r="AA193" i="1"/>
  <c r="AB188" i="1"/>
  <c r="AA188" i="1"/>
  <c r="AB217" i="1"/>
  <c r="AA217" i="1"/>
  <c r="AB216" i="1"/>
  <c r="AA216" i="1"/>
  <c r="AB215" i="1"/>
  <c r="AA215" i="1"/>
  <c r="AB214" i="1"/>
  <c r="AA214" i="1"/>
  <c r="AB229" i="1"/>
  <c r="AA229" i="1"/>
  <c r="AB226" i="1"/>
  <c r="AA226" i="1"/>
  <c r="AB225" i="1"/>
  <c r="AA225" i="1"/>
  <c r="AB201" i="1"/>
  <c r="AA201" i="1"/>
  <c r="AB28" i="1"/>
  <c r="AB169" i="1"/>
  <c r="AA169" i="1"/>
  <c r="AB168" i="1"/>
  <c r="AA168" i="1"/>
  <c r="AB154" i="1"/>
  <c r="AA154" i="1"/>
  <c r="AB150" i="1"/>
  <c r="AA150" i="1"/>
  <c r="AB148" i="1"/>
  <c r="AA148" i="1"/>
  <c r="AB137" i="1"/>
  <c r="AA137" i="1"/>
  <c r="AB156" i="1"/>
  <c r="AA156" i="1"/>
  <c r="AB155" i="1"/>
  <c r="AA155" i="1"/>
  <c r="AA73" i="1"/>
  <c r="AB74" i="1"/>
  <c r="D29" i="4"/>
  <c r="AB23" i="1"/>
  <c r="U62" i="1"/>
  <c r="U64" i="1"/>
  <c r="U131" i="1"/>
  <c r="U65" i="1"/>
  <c r="AA65" i="1" s="1"/>
  <c r="AA40" i="1"/>
  <c r="AB40" i="1"/>
  <c r="AA100" i="1"/>
  <c r="AB100" i="1"/>
  <c r="AA128" i="1"/>
  <c r="AB128" i="1"/>
  <c r="AA46" i="1"/>
  <c r="AB46" i="1"/>
  <c r="AA98" i="1"/>
  <c r="AB98" i="1"/>
  <c r="AB52" i="1"/>
  <c r="AA52" i="1"/>
  <c r="AB110" i="1"/>
  <c r="AA110" i="1"/>
  <c r="AA107" i="1"/>
  <c r="AB107" i="1"/>
  <c r="AA106" i="1"/>
  <c r="AB106" i="1"/>
  <c r="AA130" i="1"/>
  <c r="AB130" i="1"/>
  <c r="AA24" i="1"/>
  <c r="AB24" i="1"/>
  <c r="AB126" i="1"/>
  <c r="AA126" i="1"/>
  <c r="AB13" i="1"/>
  <c r="AA13" i="1"/>
  <c r="AA96" i="1"/>
  <c r="AB96" i="1"/>
  <c r="AA85" i="1"/>
  <c r="AB85" i="1"/>
  <c r="AA127" i="1"/>
  <c r="AB127" i="1"/>
  <c r="AA57" i="1"/>
  <c r="AA105" i="1"/>
  <c r="AB105" i="1"/>
  <c r="AB30" i="1"/>
  <c r="AA30" i="1"/>
  <c r="AA76" i="1"/>
  <c r="AB76" i="1"/>
  <c r="AA92" i="1"/>
  <c r="AB92" i="1"/>
  <c r="AA114" i="1"/>
  <c r="AB114" i="1"/>
  <c r="AA78" i="1"/>
  <c r="AB78" i="1"/>
  <c r="AA56" i="1"/>
  <c r="AB56" i="1"/>
  <c r="AA129" i="1"/>
  <c r="AB129" i="1"/>
  <c r="AA54" i="1"/>
  <c r="AB54" i="1"/>
  <c r="AA112" i="1"/>
  <c r="AB112" i="1"/>
  <c r="AA45" i="1"/>
  <c r="AB45" i="1"/>
  <c r="AA83" i="1"/>
  <c r="AB83" i="1"/>
  <c r="AB9" i="1"/>
  <c r="AA9" i="1"/>
  <c r="AA51" i="1"/>
  <c r="AB51" i="1"/>
  <c r="AA75" i="1"/>
  <c r="AB75" i="1"/>
  <c r="AA125" i="1"/>
  <c r="AB125" i="1"/>
  <c r="AA48" i="1"/>
  <c r="AB48" i="1"/>
  <c r="AA104" i="1"/>
  <c r="AB104" i="1"/>
  <c r="AB29" i="1"/>
  <c r="AA29" i="1"/>
  <c r="AA50" i="1"/>
  <c r="AB50" i="1"/>
  <c r="AA102" i="1"/>
  <c r="AB102" i="1"/>
  <c r="AA77" i="1"/>
  <c r="AB77" i="1"/>
  <c r="AA118" i="1"/>
  <c r="AB118" i="1"/>
  <c r="AA25" i="1"/>
  <c r="AB25" i="1"/>
  <c r="AA7" i="1"/>
  <c r="AB7" i="1"/>
  <c r="AA81" i="1"/>
  <c r="AB81" i="1"/>
  <c r="AB5" i="1"/>
  <c r="AA5" i="1"/>
  <c r="T132" i="1" l="1"/>
  <c r="T166" i="1"/>
  <c r="T211" i="1"/>
  <c r="U211" i="1" s="1"/>
  <c r="AA139" i="1"/>
  <c r="AB211" i="1"/>
  <c r="AA211" i="1"/>
  <c r="AB221" i="1"/>
  <c r="AA221" i="1"/>
  <c r="AB209" i="1"/>
  <c r="AA209" i="1"/>
  <c r="AB208" i="1"/>
  <c r="AA208" i="1"/>
  <c r="U166" i="1"/>
  <c r="U132" i="1"/>
  <c r="AB132" i="1" s="1"/>
  <c r="AB65" i="1"/>
  <c r="AB131" i="1"/>
  <c r="AA131" i="1"/>
  <c r="AB62" i="1"/>
  <c r="AA62" i="1"/>
  <c r="AA64" i="1"/>
  <c r="AB64" i="1"/>
  <c r="AA132" i="1" l="1"/>
  <c r="AB166" i="1"/>
  <c r="AA166" i="1"/>
  <c r="U232" i="1"/>
  <c r="AB232" i="1" s="1"/>
  <c r="AA232" i="1" l="1"/>
  <c r="N241"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B2A7C54-17B7-463C-8120-E0FD57211B94}" keepAlive="1" name="Query - Table42" description="Connection to the 'Table42' query in the workbook." type="5" refreshedVersion="8" background="1" saveData="1">
    <dbPr connection="Provider=Microsoft.Mashup.OleDb.1;Data Source=$Workbook$;Location=Table42;Extended Properties=&quot;&quot;" command="SELECT * FROM [Table42]"/>
  </connection>
</connections>
</file>

<file path=xl/sharedStrings.xml><?xml version="1.0" encoding="utf-8"?>
<sst xmlns="http://schemas.openxmlformats.org/spreadsheetml/2006/main" count="3930" uniqueCount="1079">
  <si>
    <t>Rīcības plāna lietošanas instrukcija</t>
  </si>
  <si>
    <t>Rīcības plāns sastāv no vairākām daļām, kas savstarpēji ir saistītas.</t>
  </si>
  <si>
    <t xml:space="preserve">1) Lapa "Rīcības plāns"
</t>
  </si>
  <si>
    <t xml:space="preserve"> Visu  Ķekavas novadā ar labiekārtojumu plānoto aktivitāšu kopums. </t>
  </si>
  <si>
    <t xml:space="preserve">Zaļā krāsā ir iekrāsots iepriekšējā Labiekārtojuma plāna izstrādes laikā ieplānotās aktivitātes. Bez krāsas ir šajā posmā pievienotās. </t>
  </si>
  <si>
    <t xml:space="preserve">Katrai aktivitātei ir izdalīts kods (kolonna A) un atsevišķām aktivitātēm arī Rīcības apakškods, ja aktivitāte sastāv no vairākām daļām (kolonna B).
</t>
  </si>
  <si>
    <t>Kolonnā D ir objekta nosaukums un adrese</t>
  </si>
  <si>
    <r>
      <t xml:space="preserve">Kolonnas H un I ir iepriekšējā Labiekārtojuma plāna izvērtējuma reuzltāts. Šajās kolonnās sniegta informācija par aktivitātēm, kas ir realizētas pilnī'ba vai realizētas daļēji. Ērtības labad šīs ailes iekāsotas </t>
    </r>
    <r>
      <rPr>
        <sz val="11"/>
        <color rgb="FFC9C400"/>
        <rFont val="Calibri"/>
        <family val="2"/>
        <charset val="186"/>
        <scheme val="minor"/>
      </rPr>
      <t>dzeltenas.</t>
    </r>
    <r>
      <rPr>
        <sz val="11"/>
        <color theme="1"/>
        <rFont val="Calibri"/>
        <family val="2"/>
        <charset val="186"/>
        <scheme val="minor"/>
      </rPr>
      <t xml:space="preserve"> </t>
    </r>
  </si>
  <si>
    <t xml:space="preserve">Kolonna O satur īsu izklāstu par to, kādi darbi konkrētajā aktivitātē ir jāveic. </t>
  </si>
  <si>
    <t xml:space="preserve">Kolonnas H un I ir iepriekšējā Labiekārtojuma plāna izvērtējuma reuzltāts. Šajās kolonnās sniegta informācija par aktivitātēm, kas ir realizētas pilnī'ba vai realizētas daļēji. Ērtības labad šīs ailes iekāsotas dzeltenas. </t>
  </si>
  <si>
    <r>
      <t xml:space="preserve">Kolonnas P un Q ir informācija par veicamajiem darbiem. </t>
    </r>
    <r>
      <rPr>
        <b/>
        <sz val="11"/>
        <color theme="1"/>
        <rFont val="Calibri"/>
        <family val="2"/>
        <charset val="186"/>
        <scheme val="minor"/>
      </rPr>
      <t>Būtiski</t>
    </r>
    <r>
      <rPr>
        <sz val="11"/>
        <color theme="1"/>
        <rFont val="Calibri"/>
        <family val="2"/>
        <charset val="186"/>
        <scheme val="minor"/>
      </rPr>
      <t xml:space="preserve">, ka kolonna Q ņem informāciju no lapas Veicamo darbu apraksts un ielasa informāciju par mērvienībām, tāpēc informācija šajā kolonnā </t>
    </r>
    <r>
      <rPr>
        <b/>
        <sz val="11"/>
        <color theme="1"/>
        <rFont val="Calibri"/>
        <family val="2"/>
        <charset val="186"/>
        <scheme val="minor"/>
      </rPr>
      <t xml:space="preserve">nav maināma mauāli. </t>
    </r>
  </si>
  <si>
    <r>
      <t xml:space="preserve">Kolonnas R līdz V satur informāciju par plānotā objekta lielumu, skaitu, izmaksām. Kolonnā V ir informācija par mērķauditoriju, kas potenciāli var izmantot attiecīgo objektu </t>
    </r>
    <r>
      <rPr>
        <b/>
        <sz val="11"/>
        <color theme="1"/>
        <rFont val="Calibri"/>
        <family val="2"/>
        <charset val="186"/>
        <scheme val="minor"/>
      </rPr>
      <t>gadā.</t>
    </r>
  </si>
  <si>
    <r>
      <t xml:space="preserve">Kolonnas W līdz AB ir aprēķini par objekta finansiālo atdevi. Detalizēti izvēlēlētie kritēriji un pamatojums to lietošanai ir sniegts 2. sējumā (word dokuments) 7.1.2. nodaļā. Mainot vērtības kolonnās V līdz X, mainīsies arī aktivitātes ietekme uz budžetu. Piemēram, samazinot potenciālo lietotāju skaitu, mainīsies arī izlietotā finansējuma efektīvitātē uz vienu Ķekavas novada iedzīvotāju - </t>
    </r>
    <r>
      <rPr>
        <b/>
        <sz val="11"/>
        <color theme="1"/>
        <rFont val="Calibri"/>
        <family val="2"/>
        <charset val="186"/>
        <scheme val="minor"/>
      </rPr>
      <t xml:space="preserve">efektivitātē kļūs mazāka. </t>
    </r>
  </si>
  <si>
    <t xml:space="preserve">Kolonna AC ir aktivitātēm sniegtās attīstības prioritātes, jeb kvalitatīvi novērtētās potenciālās objekta attīstības iespējas. Informācija par attīstības prioritāti (1, 2, 3, vai 7 un vairāk gadu periodā) ir sagatvota kopdarbā ar pašvaldības speciālistiem un ņemot vērā plānotos ieguldījumus. </t>
  </si>
  <si>
    <t xml:space="preserve">Lapā ir slēptas kolonnas (hidden), kurās ir sniegta darba informācija, bet ikdienā nav izmantojama. </t>
  </si>
  <si>
    <t>2) Lapa Pivot rīcības un objekti</t>
  </si>
  <si>
    <r>
      <t xml:space="preserve">Lapa ir matemātiskā analīze. Lapā tiek ielasīti dati no lapas Rīcības plāns. </t>
    </r>
    <r>
      <rPr>
        <b/>
        <sz val="11"/>
        <color theme="1"/>
        <rFont val="Calibri"/>
        <family val="2"/>
        <charset val="186"/>
        <scheme val="minor"/>
      </rPr>
      <t>Ja tiek veiktas izmaiņas Rīcības plānā, nepieciešams atjaunot datus Pivot lapā.</t>
    </r>
  </si>
  <si>
    <t xml:space="preserve"> To dara šādi: Rīku joslā uzspiež uz Data un izvēlas Refresh all.  Tādejādi dati atjaunosies. Manuāli šajā lapā nekādus datus neievada. </t>
  </si>
  <si>
    <t xml:space="preserve">3) Lapa Prioritārās vietas </t>
  </si>
  <si>
    <t xml:space="preserve">Šajā lapā ir sniegts Ķekavas novadā plānoto aktivitāšu sadalījums pēc prioritātēm. </t>
  </si>
  <si>
    <t xml:space="preserve">Lapā attīstāmās vietas ir sadalītas pēc prioritātēm. </t>
  </si>
  <si>
    <t xml:space="preserve">Var redzēt, ka attīstāmās vietas ar augstāko prioritātī - 1, ir arī vietas ar zemāko vidējā ranga novērtējumu,kas nozīmē, ka attīstīto šo vietu, pašvaldības finansiālais ieguldījums būs ar vislielāko atdevi. </t>
  </si>
  <si>
    <t xml:space="preserve">Kolonnā N  ir sniegtas kumulatīvās izmaksas, jeb izmaksas, pieskaitot katru nākamo izmaksu iepriekšējai. Tas sniedz iespēju saprast, kad ir sasniegts laika posmā atvēlētais pašvaldības budžets. </t>
  </si>
  <si>
    <r>
      <t xml:space="preserve">Lapā ir pievienots </t>
    </r>
    <r>
      <rPr>
        <b/>
        <sz val="11"/>
        <color theme="1"/>
        <rFont val="Calibri"/>
        <family val="2"/>
        <charset val="186"/>
        <scheme val="minor"/>
      </rPr>
      <t>atlases rīks</t>
    </r>
    <r>
      <rPr>
        <sz val="11"/>
        <color theme="1"/>
        <rFont val="Calibri"/>
        <family val="2"/>
        <charset val="186"/>
        <scheme val="minor"/>
      </rPr>
      <t xml:space="preserve">, lai izvēlētos konkrētā apdzīvotā vietā plānotās aktivitātes. Apdzīvotās vietas ir izdalītas pēc tām, kur ir plānotas aktivitās. </t>
    </r>
  </si>
  <si>
    <t xml:space="preserve">Rīcības kodu apzīmējumi ir pārņemti pēctecīgi no iepriekšējā plāna un šajā posmā papildināti ar jauniem kodiem. Ir situācija, ka Rīcības koda burts ir vienāds dažādām apdzīvotām vietām, piemēram K burts ir gan Ķekavai, gan Alejām. </t>
  </si>
  <si>
    <t xml:space="preserve">Lapā ir pievienota kartoshēma, lai vizuāli attēlotu attīstāmō vietu atrašanās vietas. </t>
  </si>
  <si>
    <t>4) lapas Veicamo darbu apraksts un Vienību izmaksu aprēķins</t>
  </si>
  <si>
    <t>Lapas, kas ir izejas dati Rīcības oplāna tabulai. No šīm lapām dati tiek ielasīti Rīcības plānā. Informācija ir sagatavota, balstoties uz 2023.gadā esošajām cenām.</t>
  </si>
  <si>
    <t>Tabulas lietošanas skaidrojums ietverts Ķekavas novada labiekārtošanas plāna 2. sējumā, 7.2.nodaļā.</t>
  </si>
  <si>
    <t>Row Labels</t>
  </si>
  <si>
    <t>Sum of Izmaksas</t>
  </si>
  <si>
    <t xml:space="preserve">Max of mērķauditorija </t>
  </si>
  <si>
    <t xml:space="preserve">Max of Infrastruktūras izmantošanas rādītājs cilvēku apmeklējumi gadā </t>
  </si>
  <si>
    <t xml:space="preserve">Sum of Infrastruktūras izmantošanas rādītājs cilvēkstundās gadā </t>
  </si>
  <si>
    <t>Average of Prioritāte</t>
  </si>
  <si>
    <t>Mērķa auditorija uz vienu ieguldīto EUR (cilv./EUR)</t>
  </si>
  <si>
    <t>Gada apmēklējumi uz vienu ieguldīto EUR (cilv./EUR)</t>
  </si>
  <si>
    <t>Gada apmeklējumu ilgums uz vienu ieguldīto EUR (cilvēkstundas/ EUR)</t>
  </si>
  <si>
    <t>Rangs-1 (merķauditorija)</t>
  </si>
  <si>
    <t>Rangs-2 (apmeklējumi gadā)</t>
  </si>
  <si>
    <t>Rangs-3 (cilvēkstundas gadā)</t>
  </si>
  <si>
    <t>Rangs-1 (merķauditorija/EUR)</t>
  </si>
  <si>
    <t>Rangs-2 (apmeklējumi gadā/EUR)</t>
  </si>
  <si>
    <t>Rangs-3 (cilvēkstundas gadā/EUR)</t>
  </si>
  <si>
    <t>Vidējais rangs</t>
  </si>
  <si>
    <t>Objekts</t>
  </si>
  <si>
    <t>Darbi objektā</t>
  </si>
  <si>
    <t>B10-1</t>
  </si>
  <si>
    <t>B10-2</t>
  </si>
  <si>
    <t>B1-1</t>
  </si>
  <si>
    <t>B11-1</t>
  </si>
  <si>
    <t>B11-2</t>
  </si>
  <si>
    <t>B12-1</t>
  </si>
  <si>
    <t>B12-2</t>
  </si>
  <si>
    <t>B13-1</t>
  </si>
  <si>
    <t>B13-2</t>
  </si>
  <si>
    <t>B14</t>
  </si>
  <si>
    <t>B15</t>
  </si>
  <si>
    <t>B16</t>
  </si>
  <si>
    <t>B17-1</t>
  </si>
  <si>
    <t>B17-2</t>
  </si>
  <si>
    <t>B18-1</t>
  </si>
  <si>
    <t>B18-2</t>
  </si>
  <si>
    <t>B19</t>
  </si>
  <si>
    <t>B2</t>
  </si>
  <si>
    <t>B20</t>
  </si>
  <si>
    <t>B21</t>
  </si>
  <si>
    <t>B22</t>
  </si>
  <si>
    <t>B23</t>
  </si>
  <si>
    <t>B24</t>
  </si>
  <si>
    <t>B25</t>
  </si>
  <si>
    <t>B3-1</t>
  </si>
  <si>
    <t>B3-2</t>
  </si>
  <si>
    <t>B4</t>
  </si>
  <si>
    <t>B5</t>
  </si>
  <si>
    <t>B6</t>
  </si>
  <si>
    <t>B7</t>
  </si>
  <si>
    <t>B8</t>
  </si>
  <si>
    <t>B9-1</t>
  </si>
  <si>
    <t>B9-2</t>
  </si>
  <si>
    <t>BL1</t>
  </si>
  <si>
    <t>BL10</t>
  </si>
  <si>
    <t>BL11</t>
  </si>
  <si>
    <t>BL12</t>
  </si>
  <si>
    <t>BL13</t>
  </si>
  <si>
    <t>BL14</t>
  </si>
  <si>
    <t>BL15</t>
  </si>
  <si>
    <t>BL16</t>
  </si>
  <si>
    <t>BL17</t>
  </si>
  <si>
    <t>BL18</t>
  </si>
  <si>
    <t>BL19</t>
  </si>
  <si>
    <t>BL2</t>
  </si>
  <si>
    <t>BL20</t>
  </si>
  <si>
    <t>BL21</t>
  </si>
  <si>
    <t>BL22</t>
  </si>
  <si>
    <t>BL23</t>
  </si>
  <si>
    <t>BL24</t>
  </si>
  <si>
    <t>BL25</t>
  </si>
  <si>
    <t>BL26</t>
  </si>
  <si>
    <t>BL27</t>
  </si>
  <si>
    <t>BL28</t>
  </si>
  <si>
    <t>BL29</t>
  </si>
  <si>
    <t>BL3</t>
  </si>
  <si>
    <t>BL30</t>
  </si>
  <si>
    <t>BL31</t>
  </si>
  <si>
    <t>BL32</t>
  </si>
  <si>
    <t>BL33</t>
  </si>
  <si>
    <t>BL34</t>
  </si>
  <si>
    <t>BL35</t>
  </si>
  <si>
    <t>BL36</t>
  </si>
  <si>
    <t>BL37</t>
  </si>
  <si>
    <t>BL38</t>
  </si>
  <si>
    <t>BL4</t>
  </si>
  <si>
    <t>BL40</t>
  </si>
  <si>
    <t>BL5</t>
  </si>
  <si>
    <t>BL6</t>
  </si>
  <si>
    <t>BL7-1</t>
  </si>
  <si>
    <t>BL7-2</t>
  </si>
  <si>
    <t>BL8</t>
  </si>
  <si>
    <t>BL9</t>
  </si>
  <si>
    <t>D10</t>
  </si>
  <si>
    <t>D11</t>
  </si>
  <si>
    <t>D1-1</t>
  </si>
  <si>
    <t>D12</t>
  </si>
  <si>
    <t>D1-2</t>
  </si>
  <si>
    <t>D13</t>
  </si>
  <si>
    <t>D14</t>
  </si>
  <si>
    <t>D15</t>
  </si>
  <si>
    <t>D16</t>
  </si>
  <si>
    <t>D17</t>
  </si>
  <si>
    <t>D18</t>
  </si>
  <si>
    <t>D19</t>
  </si>
  <si>
    <t>D2</t>
  </si>
  <si>
    <t>D20</t>
  </si>
  <si>
    <t>D21</t>
  </si>
  <si>
    <t>D22</t>
  </si>
  <si>
    <t>D23</t>
  </si>
  <si>
    <t>D24</t>
  </si>
  <si>
    <t>D25</t>
  </si>
  <si>
    <t>D26</t>
  </si>
  <si>
    <t>D27</t>
  </si>
  <si>
    <t>D28</t>
  </si>
  <si>
    <t>D29</t>
  </si>
  <si>
    <t>D30</t>
  </si>
  <si>
    <t>D31</t>
  </si>
  <si>
    <t>D3-1</t>
  </si>
  <si>
    <t>D32</t>
  </si>
  <si>
    <t>D3-2</t>
  </si>
  <si>
    <t>D33</t>
  </si>
  <si>
    <t>D34</t>
  </si>
  <si>
    <t>D35</t>
  </si>
  <si>
    <t>D36</t>
  </si>
  <si>
    <t>D37</t>
  </si>
  <si>
    <t>D4</t>
  </si>
  <si>
    <t>D5</t>
  </si>
  <si>
    <t>D6</t>
  </si>
  <si>
    <t>D7</t>
  </si>
  <si>
    <t>D9-1</t>
  </si>
  <si>
    <t>D9-2</t>
  </si>
  <si>
    <t>Dz1</t>
  </si>
  <si>
    <t>Dz2</t>
  </si>
  <si>
    <t>Dz3</t>
  </si>
  <si>
    <t>Dz4</t>
  </si>
  <si>
    <t>Dz5</t>
  </si>
  <si>
    <t>Dz6</t>
  </si>
  <si>
    <t xml:space="preserve">J1 </t>
  </si>
  <si>
    <t>K1</t>
  </si>
  <si>
    <t>K10-1</t>
  </si>
  <si>
    <t>K10-2</t>
  </si>
  <si>
    <t>K11</t>
  </si>
  <si>
    <t>K12</t>
  </si>
  <si>
    <t>K13-1</t>
  </si>
  <si>
    <t>K13-2</t>
  </si>
  <si>
    <t>K14-1</t>
  </si>
  <si>
    <t>K14-2</t>
  </si>
  <si>
    <t>K15'-1</t>
  </si>
  <si>
    <t>K15-2</t>
  </si>
  <si>
    <t>K16</t>
  </si>
  <si>
    <t>K17</t>
  </si>
  <si>
    <t>K18</t>
  </si>
  <si>
    <t>K19-1</t>
  </si>
  <si>
    <t>K19-2</t>
  </si>
  <si>
    <t>K20</t>
  </si>
  <si>
    <t>K21</t>
  </si>
  <si>
    <t>K2-1</t>
  </si>
  <si>
    <t>K21-1</t>
  </si>
  <si>
    <t>K2-2</t>
  </si>
  <si>
    <t>K22-1</t>
  </si>
  <si>
    <t>K22-2</t>
  </si>
  <si>
    <t>K23</t>
  </si>
  <si>
    <t>K24-1</t>
  </si>
  <si>
    <t>K24-2</t>
  </si>
  <si>
    <t>K25-1</t>
  </si>
  <si>
    <t>K25-2</t>
  </si>
  <si>
    <t>K26</t>
  </si>
  <si>
    <t>K27</t>
  </si>
  <si>
    <t>K28</t>
  </si>
  <si>
    <t>K29-1</t>
  </si>
  <si>
    <t>K29-2</t>
  </si>
  <si>
    <t>K30</t>
  </si>
  <si>
    <t>K31</t>
  </si>
  <si>
    <t>K3-1</t>
  </si>
  <si>
    <t>K32</t>
  </si>
  <si>
    <t>K3-2</t>
  </si>
  <si>
    <t>K33</t>
  </si>
  <si>
    <t>K34-1</t>
  </si>
  <si>
    <t>K34-2</t>
  </si>
  <si>
    <t>K35-1</t>
  </si>
  <si>
    <t>K35-2</t>
  </si>
  <si>
    <t>K36</t>
  </si>
  <si>
    <t>K37</t>
  </si>
  <si>
    <t>K37-1</t>
  </si>
  <si>
    <t>K37-2</t>
  </si>
  <si>
    <t>K38</t>
  </si>
  <si>
    <t>K39</t>
  </si>
  <si>
    <t>K4</t>
  </si>
  <si>
    <t>K40</t>
  </si>
  <si>
    <t>K41</t>
  </si>
  <si>
    <t>K42</t>
  </si>
  <si>
    <t>K43</t>
  </si>
  <si>
    <t>K44</t>
  </si>
  <si>
    <t>K45-1</t>
  </si>
  <si>
    <t>K45-2</t>
  </si>
  <si>
    <t>K46</t>
  </si>
  <si>
    <t>K47</t>
  </si>
  <si>
    <t>K48</t>
  </si>
  <si>
    <t>K49</t>
  </si>
  <si>
    <t>K5</t>
  </si>
  <si>
    <t>K51</t>
  </si>
  <si>
    <t>K52</t>
  </si>
  <si>
    <t>K6-1</t>
  </si>
  <si>
    <t>K6-2</t>
  </si>
  <si>
    <t>K7-1</t>
  </si>
  <si>
    <t>K7-2</t>
  </si>
  <si>
    <t>K7-3</t>
  </si>
  <si>
    <t>K7-4</t>
  </si>
  <si>
    <t>K8</t>
  </si>
  <si>
    <t>K9</t>
  </si>
  <si>
    <t>MP1</t>
  </si>
  <si>
    <t>MP2</t>
  </si>
  <si>
    <t>MP3</t>
  </si>
  <si>
    <t>MP4</t>
  </si>
  <si>
    <t>R1</t>
  </si>
  <si>
    <t>R10</t>
  </si>
  <si>
    <t>R11</t>
  </si>
  <si>
    <t>R12</t>
  </si>
  <si>
    <t>R13-1</t>
  </si>
  <si>
    <t>R13-2</t>
  </si>
  <si>
    <t>R14</t>
  </si>
  <si>
    <t>R15</t>
  </si>
  <si>
    <t>R16</t>
  </si>
  <si>
    <t>R17</t>
  </si>
  <si>
    <t>R18</t>
  </si>
  <si>
    <t>R19</t>
  </si>
  <si>
    <t>R2</t>
  </si>
  <si>
    <t>R20</t>
  </si>
  <si>
    <t>R21</t>
  </si>
  <si>
    <t>R22</t>
  </si>
  <si>
    <t>R23</t>
  </si>
  <si>
    <t>R24-1</t>
  </si>
  <si>
    <t>R24-2</t>
  </si>
  <si>
    <t>R25</t>
  </si>
  <si>
    <t>R26</t>
  </si>
  <si>
    <t>R27</t>
  </si>
  <si>
    <t>R28-1</t>
  </si>
  <si>
    <t>R28-2</t>
  </si>
  <si>
    <t>R29</t>
  </si>
  <si>
    <t>R3</t>
  </si>
  <si>
    <t>R30</t>
  </si>
  <si>
    <t>R4</t>
  </si>
  <si>
    <t>R5</t>
  </si>
  <si>
    <t>R6</t>
  </si>
  <si>
    <t>R7</t>
  </si>
  <si>
    <t>R8</t>
  </si>
  <si>
    <t>13-2</t>
  </si>
  <si>
    <t>K50</t>
  </si>
  <si>
    <t>BL39</t>
  </si>
  <si>
    <t>Grand Total</t>
  </si>
  <si>
    <t>Ar Ctrl var atlasīt vairākas apkaimes</t>
  </si>
  <si>
    <t xml:space="preserve">Apkaimes nosaukums </t>
  </si>
  <si>
    <t xml:space="preserve">Apkaimē ietilpstošās apdzīvotās vietas </t>
  </si>
  <si>
    <t xml:space="preserve">Kods no Rīcības plāna </t>
  </si>
  <si>
    <t>Baložu un Krustkalnu apkaime</t>
  </si>
  <si>
    <t>Krustkalni, Baloži, Lapenieki, Titurga</t>
  </si>
  <si>
    <t>B</t>
  </si>
  <si>
    <t>Dzērumu apkaime</t>
  </si>
  <si>
    <t>Dzērumi, Kažoki</t>
  </si>
  <si>
    <t>Dz</t>
  </si>
  <si>
    <t>Ķekavas apkaime</t>
  </si>
  <si>
    <t>Ķekava, Odukalns, Vimbukrogs</t>
  </si>
  <si>
    <t>K</t>
  </si>
  <si>
    <t>Jaunsila apkaime</t>
  </si>
  <si>
    <t>Jaunsils Katrīnmuiža</t>
  </si>
  <si>
    <t>Baldone</t>
  </si>
  <si>
    <t>Baldone, Riekstuklans, Mencendarbe</t>
  </si>
  <si>
    <t>BL</t>
  </si>
  <si>
    <t>Mežinieku apkaime</t>
  </si>
  <si>
    <t>Plakanciems, Mellupi, Misas</t>
  </si>
  <si>
    <t>MP</t>
  </si>
  <si>
    <t>Valdlauču, Rāmavas, Katlakalna apkaime</t>
  </si>
  <si>
    <t>Valdlauči, Rāmava, Katlakalns</t>
  </si>
  <si>
    <t>R</t>
  </si>
  <si>
    <t>Pulkarnes apkaime</t>
  </si>
  <si>
    <t>Pulkarne, Saulgoži, Sūnupes</t>
  </si>
  <si>
    <t xml:space="preserve">Aleju apkaime </t>
  </si>
  <si>
    <t>Alejas, Krogsils</t>
  </si>
  <si>
    <t>Vārpu apkaime</t>
  </si>
  <si>
    <t>Misa, Sarma, Stūri, Vārpas</t>
  </si>
  <si>
    <t>Daugmales apkaime</t>
  </si>
  <si>
    <t>Dzintari, Daugmale, Bērzmente</t>
  </si>
  <si>
    <t>D</t>
  </si>
  <si>
    <t>Jenču apkaime</t>
  </si>
  <si>
    <t>Jenči</t>
  </si>
  <si>
    <t>J</t>
  </si>
  <si>
    <t>Rīcības kods</t>
  </si>
  <si>
    <t>Apdzīvota vieta</t>
  </si>
  <si>
    <t>Rangs-4 (merķauditorija /EUR)</t>
  </si>
  <si>
    <t>Rangs-5 (apmeklējumi gadā/EUR)</t>
  </si>
  <si>
    <t>Rangs-6 (cilvēkstundas gadā/EUR)</t>
  </si>
  <si>
    <t>Prioritāte pēc kvalitatīvajiem kritērijiem</t>
  </si>
  <si>
    <t>Izmaksas, EUR</t>
  </si>
  <si>
    <t>Izmaksas kumulatīvi, EUR</t>
  </si>
  <si>
    <t>Kopā par kvalitatīvajām prioritātēm</t>
  </si>
  <si>
    <t>Baloži</t>
  </si>
  <si>
    <t xml:space="preserve">Ķekava </t>
  </si>
  <si>
    <t>Rāmava</t>
  </si>
  <si>
    <t>Odukalns</t>
  </si>
  <si>
    <t>Valdlauči</t>
  </si>
  <si>
    <t>Katlakalns</t>
  </si>
  <si>
    <t>Daugmale</t>
  </si>
  <si>
    <t xml:space="preserve">Baloži </t>
  </si>
  <si>
    <t>Dzērumi</t>
  </si>
  <si>
    <t>Kopā laika posmā 2024-2025 EUR 2 700 000</t>
  </si>
  <si>
    <t xml:space="preserve"> Kopā laika posmā 2026-2027 EUR 3 500 000</t>
  </si>
  <si>
    <t>Bērzmente</t>
  </si>
  <si>
    <t>Vārpas</t>
  </si>
  <si>
    <t xml:space="preserve">Dzērumi </t>
  </si>
  <si>
    <t>Mellupi</t>
  </si>
  <si>
    <t>Dzintari</t>
  </si>
  <si>
    <t>Mercendarbe</t>
  </si>
  <si>
    <t>Baldones apkaime</t>
  </si>
  <si>
    <t>Lapenieki</t>
  </si>
  <si>
    <t>Jaunsils</t>
  </si>
  <si>
    <t>Kopā laika posmā 2028-2029 EUR  3 580 000</t>
  </si>
  <si>
    <t>Plakanciems</t>
  </si>
  <si>
    <t>Vimbukrogs</t>
  </si>
  <si>
    <t>Alejas</t>
  </si>
  <si>
    <t>Krustkalni</t>
  </si>
  <si>
    <t>Ķekava</t>
  </si>
  <si>
    <t>KOPĀ</t>
  </si>
  <si>
    <t>FR12</t>
  </si>
  <si>
    <t>Rīcības apakškods</t>
  </si>
  <si>
    <t>Apdzīvotā vieta</t>
  </si>
  <si>
    <t>Objekts (nosaukums, adrese)</t>
  </si>
  <si>
    <t>Kadastrs</t>
  </si>
  <si>
    <t>Piederība</t>
  </si>
  <si>
    <t xml:space="preserve">Infrastruktūras veids </t>
  </si>
  <si>
    <t>Realizēts 2020-2023</t>
  </si>
  <si>
    <t>Paveikts/zaudējis aktualitāti</t>
  </si>
  <si>
    <t>Funkcija</t>
  </si>
  <si>
    <t>Pieejamība</t>
  </si>
  <si>
    <t>Labiekārtojuma kvalitāte</t>
  </si>
  <si>
    <t>Atpazīstamība</t>
  </si>
  <si>
    <t>Vides kvalitāte</t>
  </si>
  <si>
    <t>Veicamie darbi - situācijas izklāsts</t>
  </si>
  <si>
    <t>Vecamie darbi, kategorijas</t>
  </si>
  <si>
    <t>Vecamie darbi, kategorija</t>
  </si>
  <si>
    <t>Darba apjoms (platība vai vienība)</t>
  </si>
  <si>
    <t>Mērienība</t>
  </si>
  <si>
    <t>Vienības izmaksas</t>
  </si>
  <si>
    <t>Izmaksas</t>
  </si>
  <si>
    <t xml:space="preserve">Mērķ- auditorija </t>
  </si>
  <si>
    <t>Plānotais vienas reizes lietošanas ilgums vienam cilvēkam, stundas</t>
  </si>
  <si>
    <t>Plānotais lietošanas biežums reizes mēnesī</t>
  </si>
  <si>
    <t>Infrastruktūras izmantošanas rādītājs, cilvēkstundās gadā</t>
  </si>
  <si>
    <t xml:space="preserve">Infrastruktūras izmantošanas rādītājs cilvēku apmeklējumi gadā </t>
  </si>
  <si>
    <t>Izmaksu efektivitāte - EUR uz vienu cilvēkstundu gadā</t>
  </si>
  <si>
    <t>Izmaksu efektivitāte - EUR uz vienu apmeklējumu gadā</t>
  </si>
  <si>
    <t>Prioritāte
1 - 2023 - 2026
2 - 2026 - 2029
3 - 2029 - 2031
7 - ilgtermiņā</t>
  </si>
  <si>
    <t>Objekta nr</t>
  </si>
  <si>
    <t xml:space="preserve">mērķauditorija </t>
  </si>
  <si>
    <t xml:space="preserve">Infrastruktūras izmantošanas rādītājs cilvēkstundās gadā </t>
  </si>
  <si>
    <t>Prioritāte
1 - 2024 - 2025
2 - 2026 - 2027
3 - 2028 - 2029
7+</t>
  </si>
  <si>
    <t>Novadpētniecības muzeja, Doles Tautas nama ēkas apkārtne
Ķekavas parka Z daļa Rīgas iela 26,Skolas iela 2A,</t>
  </si>
  <si>
    <t>80700081812
80700081506</t>
  </si>
  <si>
    <t>Pašvaldība</t>
  </si>
  <si>
    <t>Esoša publiskā ārtelpa</t>
  </si>
  <si>
    <t>Pie muzeja uzstādīts interaktīvais infostends</t>
  </si>
  <si>
    <t>Publiskās apbūves teritorija</t>
  </si>
  <si>
    <t>Augsts</t>
  </si>
  <si>
    <t>Teritorijas papildināšana ar koku stādījumiem pie Novadpētniecības muzeja</t>
  </si>
  <si>
    <t>Esošā labiekārtojuma pilnveidošana</t>
  </si>
  <si>
    <t>K2</t>
  </si>
  <si>
    <t>Jauno ideju centrs, Skolas iela 2</t>
  </si>
  <si>
    <t xml:space="preserve">
80700081451</t>
  </si>
  <si>
    <t>Vidējs</t>
  </si>
  <si>
    <t>Papildināt teritoriju ar lēzenu gājēju savienojumu (pandusu) ar Ķekavas parka teritorijas gājēju ceļiem, lietišķās atpūtas vieta (S tipa)</t>
  </si>
  <si>
    <t>Transporta infrastruktūra - kājāmgājēju infrastruktūras pilnveidošana</t>
  </si>
  <si>
    <t>Transporta infrastruktūra - kājāmgājēju infrastruktūras pilnveidošana (bruģis)</t>
  </si>
  <si>
    <t xml:space="preserve">Uzstādīts viedais un interaktīvais sols  </t>
  </si>
  <si>
    <t xml:space="preserve">Lietišķās atpūtas vietas izveide </t>
  </si>
  <si>
    <t>Lietišķās atpūtas vieta (L)</t>
  </si>
  <si>
    <t>K3</t>
  </si>
  <si>
    <t>Ābeļdārzs, Skolas iela 1</t>
  </si>
  <si>
    <t>Zems</t>
  </si>
  <si>
    <t>Veikt skvēra rekonstrukciju, sakārtojot tā funkcionālo zonējumu - gājēju zona, lietisķās atpūtas vietas (L tipa), apstādījumu zona, vides objekts. Savienojumi (gājēju pārejas pāri Nākotnes ielai)</t>
  </si>
  <si>
    <t xml:space="preserve">Esošā labiekārtojuma pilnveidošana </t>
  </si>
  <si>
    <t xml:space="preserve">
80700081144</t>
  </si>
  <si>
    <t>Viedais soliņš</t>
  </si>
  <si>
    <t>Final</t>
  </si>
  <si>
    <t>Mūzikas skolas priekšlaukums, Skolas iela 3</t>
  </si>
  <si>
    <t xml:space="preserve">Vides objekts Nots, skulptūra. Ir koki Mūzikas skolas zālē ir sastādīti kādi 6-7 koki. </t>
  </si>
  <si>
    <t>Papildināt ar koku stādījumiem</t>
  </si>
  <si>
    <t>Koku stādījumu pilnveidošana</t>
  </si>
  <si>
    <t>Koku stādījumu pilnveidošana (dižstādi)</t>
  </si>
  <si>
    <t> Ķekavas sākumskola, Nākotnes iela 1A, Nākotnes iela 3, Dienvidu iela 3</t>
  </si>
  <si>
    <t>80700083258
80700081597</t>
  </si>
  <si>
    <t>Aizstāta viena izkritusī liepa</t>
  </si>
  <si>
    <t>Papildināt ar koku stādijumiem</t>
  </si>
  <si>
    <t>K6</t>
  </si>
  <si>
    <t>Ķekavas parka ZK-daļa, Gaismas iela 1C,</t>
  </si>
  <si>
    <t>Dabas un apstādījumu teritorija (Parks, Skvērs, Mežaparks)</t>
  </si>
  <si>
    <t>Gājēju ceļu izbūve un lietišķās atpūtas vietu labiekārtošana (S un M tipa). Uzlabot pieejamību pie Brāļu kapu teritorijas (uzkalniņa). Izvērtēt skatu atvēršanu no Brāļu kapu kalniņa</t>
  </si>
  <si>
    <t>Lietišķās atpūtas vieta (S)</t>
  </si>
  <si>
    <t>Ķekavas parks K-krasts, Gaismas iela 7B (80700082650)</t>
  </si>
  <si>
    <t>Fiziska persona</t>
  </si>
  <si>
    <t xml:space="preserve">Demontētas kūts drupas. Labiekārtots zāliens. Taciņas tikai iemītas.  </t>
  </si>
  <si>
    <t>Gājēju ceļu izbūve, veidojot savienojumus ar citām rekreācijas teritorijām</t>
  </si>
  <si>
    <t xml:space="preserve">Transporta infrastruktūra - kājāmgājēju infrastruktūras pilnveidošana. Sporta infrastruktūra </t>
  </si>
  <si>
    <t>Ķekavas parks VK-daļa, Gaismas iela 7A,</t>
  </si>
  <si>
    <t xml:space="preserve">Nobruģētā taciņa aiz vidusskolas uz parka pusi.  </t>
  </si>
  <si>
    <t>K10</t>
  </si>
  <si>
    <t xml:space="preserve">`Ķekavas ūdensdzirnavas``, Kekavas parka DK-daļa ar rotaļu laukumu </t>
  </si>
  <si>
    <t xml:space="preserve"> Viena iestaigātā taciņa nobruģēta. </t>
  </si>
  <si>
    <t>Dabas un apstādījumu teritorija (Skvērs, Parks, Mežaparks), Aktīvās atpūtas teritorija (Stadions, sporta laukumi)</t>
  </si>
  <si>
    <t>Samazināt antropogēno slodzi uz apkārtejo teritoriju. Platāki gājēju ceļi, cietais segums, atbilstošs segums zem rotaļu iekārtām.</t>
  </si>
  <si>
    <t xml:space="preserve">Transporta infrastruktūra - kājāmgājēju infrastruktūras pilnveidošana
</t>
  </si>
  <si>
    <t>Vecie rotaļu elementi aizstāti ar jauniem. Apgaismojums taciņai pie dzirnavu drupām. Videnovērošana</t>
  </si>
  <si>
    <t xml:space="preserve">
Segumu ieklāšana zems rotaļu zonas </t>
  </si>
  <si>
    <t xml:space="preserve">Segumu ieklāšana zem rotaļu zonas </t>
  </si>
  <si>
    <t>Tirdzniecības/Darījumu ēku apkārtne, Nākotnes iela 2,Nākotnes iela 1, Rīgas iela 28.</t>
  </si>
  <si>
    <t>80700083249, 
80700081277</t>
  </si>
  <si>
    <t>Juridiska persona</t>
  </si>
  <si>
    <t>Ir iecere, bet nav projekta</t>
  </si>
  <si>
    <t>Zaudējis aktualitāti</t>
  </si>
  <si>
    <t>Ieejas zonas iezīmēšana (jur.persona t/c Dalderi). Zaļās zonas palielināšana ar koku stādījumiem.</t>
  </si>
  <si>
    <t>Doles-Ķekavas Evaņģēliski luteriskā baznīca, Rīgas iela 75.</t>
  </si>
  <si>
    <t xml:space="preserve">Publiskās apbūves teritorija, Kultūrvēsturiska teritorija. Aizstāt ar norādi. Norāde uz atpūtas vietu pie ūdens. Izvietošanai pie baznīcas. Atpūtas vieta "Murdiņi" un stāvlaukums </t>
  </si>
  <si>
    <t>Turpmākajā plānošanas procesā veicamie darbi</t>
  </si>
  <si>
    <t>Esošā labiekārtojuma pilnveidošana. Norāžu izvietošana.</t>
  </si>
  <si>
    <t>Norāžu izvietošana</t>
  </si>
  <si>
    <t>Labiekārtota atpūtas vietas pie ūdens zona, Dārznieku iela 13,</t>
  </si>
  <si>
    <t xml:space="preserve">Pludmale nodota apsiamniekšanā biedrībai "Sudrabgārnis". Ir misksate, galds, laivu piestātne, nojume, tālāk vēl pašvaldibas aptūtas vieta. </t>
  </si>
  <si>
    <t xml:space="preserve">Final </t>
  </si>
  <si>
    <t>Dabas un apstādījumu teritorija (Parks, Skvērs, Mežaparks), Atpūtas vieta pie ūdens</t>
  </si>
  <si>
    <t>Savstarpēji saskaņoti labiekārtojuma elementi, papildināt ar apgaismojumu, norādes uz atpūtas vietu pie ūdens.</t>
  </si>
  <si>
    <t>Labiekārtota atpūtas vietas pie ūdens  zona,Dārznieku iela 13,</t>
  </si>
  <si>
    <t>Savstarpēji saskaņoti labiekārtojuma elementi, papildināt ar apgaismojumu, norādes uz atpūtas vietu pie ūdens</t>
  </si>
  <si>
    <t>K15</t>
  </si>
  <si>
    <t>Ķekavas vidusskola, Gaismas iela 9</t>
  </si>
  <si>
    <t xml:space="preserve">Multifukncionalas sporta laukums apagaismots. Ledus ziemā, basketbols vasarā. 2021.gada būve. </t>
  </si>
  <si>
    <t>Veikt skolas priekšlaukuma rekonstrukciju un funkcionālo zonējumu - gājēju ceļi, velosipēdu novietnes, lietišķās atpūtas vieta (S tipa), apstādījumu zona</t>
  </si>
  <si>
    <t>Veikt skolas priekšlaukuma rekonstrukciju un funkcionālo zonējumu - gājēju ceļi, velosipēdu novietnes,  apstādījumu zona</t>
  </si>
  <si>
    <t>Publiskais laukums</t>
  </si>
  <si>
    <t>Ķekavas kultūras nama priekšlaukums, Gaismas iela 17</t>
  </si>
  <si>
    <t>2023.gadā paredzēta kultūras nama fasādes rekonstrukcija.</t>
  </si>
  <si>
    <t>Papildināt ar pasīvās atpūtas vietu (M tipa)</t>
  </si>
  <si>
    <t>Lietišķās atpūtas vieta (M)</t>
  </si>
  <si>
    <t>Ķekavas upes atpūtas vieta "Dambītis"</t>
  </si>
  <si>
    <t>Dabas un apstādījumu teritorija (Skvērs, Parks, Mežaparks), Aktīvās atpūtas teritorija (Stadions, sporta laukumi), Atpūtas vieta pie ūdens</t>
  </si>
  <si>
    <t>Lietišķās atpūtas vietas labiekārtošana (L tipa). Jāplāno norādes un piekļuves uzlabošana.</t>
  </si>
  <si>
    <t>Ķekavas sporta klubs, `Fortius```Delta``</t>
  </si>
  <si>
    <t>Aktīvās atpūtas teritorija (Stadions, sporta laukumi)</t>
  </si>
  <si>
    <t>Aktīvās atpūtas labiekārtojuma papildināšana</t>
  </si>
  <si>
    <t xml:space="preserve">Būvprojekta izstrāde </t>
  </si>
  <si>
    <t>m2</t>
  </si>
  <si>
    <t>Ķekavas pašvaldības priekšlaukums, pie ēkas Gaismas ielā 19-k-9</t>
  </si>
  <si>
    <t>2019.gadā izbūvēts stāvlaukums ar labiekārtojumu</t>
  </si>
  <si>
    <t xml:space="preserve">- </t>
  </si>
  <si>
    <t>Sabiedriskas ēkas priekšlaukuma ierīkošana</t>
  </si>
  <si>
    <t>Ķekavas autobusu,mikroautobusu galapietura pie ēkas Gaismas ielā 21</t>
  </si>
  <si>
    <t>Nepieciešama laukuma rekonstrukcija un funkcionālā zonējuma izmaiņas - gājēju zona, sabiedriskā transporta uzgaidīšanas zona, autobusu apstāšanās laukums, apstādījumu zona</t>
  </si>
  <si>
    <t>Lietišķās atpūtas vieta (L)
Sabiedirskā transporta galapunkts</t>
  </si>
  <si>
    <t>Sabiedriskā transporta galapunkts (L)</t>
  </si>
  <si>
    <t>Ķekavas Ambulances priekšlaukums, Gaismas iela 15</t>
  </si>
  <si>
    <t>Iezīmēt ambulances ieejas zonu, lietišķās atpūtas vieta (S tips) pie ieejas.</t>
  </si>
  <si>
    <t>Tilts pāri Titurgas upei starp zemes gabaliem Akmeņkaļu ielā 17 un Akmeņkaļu ielā 11, Alejās</t>
  </si>
  <si>
    <t>80700081305 (tikai tilta posms starp 80700080311 un 80700080310)</t>
  </si>
  <si>
    <t>Lietišķās atpūtas vieta (L tipa) pie atpūtas vietas ar skatu uz Titurgas upi.</t>
  </si>
  <si>
    <t>Odukalns ūdenstornis, ``Odiņš``, Odukalns, Ķekavas pag., Ķekavas nov.,</t>
  </si>
  <si>
    <t>Potenciāla publiskā ārtelpa</t>
  </si>
  <si>
    <t xml:space="preserve">Dabas un apstādījumu teritorija (Parks, Skvērs, Mežaparks)     </t>
  </si>
  <si>
    <t>Ūdens torņa vizuālā stāvokļa uzturēšana/uzlabošana. Pasīvās atpūtas vietas labiekārtošana.</t>
  </si>
  <si>
    <t>gab.</t>
  </si>
  <si>
    <t xml:space="preserve">Odukalna torņa un apkārtējās teritorijas pārbūve </t>
  </si>
  <si>
    <t xml:space="preserve">Objekta pārbūve (Odukalna ūdenstornis) un apkārtējā teritorija </t>
  </si>
  <si>
    <t>K13</t>
  </si>
  <si>
    <t>Mols pie Daugavas, Zvejnieku iela 8</t>
  </si>
  <si>
    <t>Gājēju ceļu izbūve, pieejamības uzlabošana.Savienojumi ar citām rekreācijas teritorijām</t>
  </si>
  <si>
    <t>K7</t>
  </si>
  <si>
    <t>Ķekavas upes ieteka, Ķekavas parks, Rīgas iela 71A,</t>
  </si>
  <si>
    <t xml:space="preserve">Izveidots grilparks tuvāk pie A7 pie Ķekavas upes izbūvēts parks. Tuvāk pie Daugavas izvestas smiltis, nolīdzināts izbūvēta viena ģērbtuve. Vajadzīga upes tīrīšana. </t>
  </si>
  <si>
    <t xml:space="preserve">Gājēju ceļu izbūve, veidojot savienojumus ar citām rekreācijas teritorijām. Stāvlaukums </t>
  </si>
  <si>
    <t>Transporta infrastruktūra - kājāmgājēju infrastruktūras izveide</t>
  </si>
  <si>
    <t>Projektēšana 2023.gadā Ķekavas parkam un Grilparka savienojumam. Izbūve 2024.</t>
  </si>
  <si>
    <t>Laivu nolaišanas vietas izbūve</t>
  </si>
  <si>
    <t>Laivu nolaišanas vietas ūdenī izbūve</t>
  </si>
  <si>
    <t>Ķekavas upes ieteka, Ūdens porta veidu centra stāvlaukums Ķekavas parks, Rīgas iela 71A,</t>
  </si>
  <si>
    <t>Stāvlaukuma izbūve</t>
  </si>
  <si>
    <t>Stāvlaukums</t>
  </si>
  <si>
    <t>K22</t>
  </si>
  <si>
    <t>Gājēju iela svētku laikā - Skolas iela</t>
  </si>
  <si>
    <t xml:space="preserve">Gājēju iela tiek organizēta  pēc nepieciešamības. Tiek organizēta ielu tirzniecība (tirdziņš) </t>
  </si>
  <si>
    <t>Transporta infrastuktūra (Gājēju un velosipēdu infrasturktūra),  Lietišķās atpūtas vietas</t>
  </si>
  <si>
    <t>Esošā autoceļa pārveidošana par gājēju ielu, savienojot Ābeļdārza teritoriju ar JIC un Ķekavas parku.</t>
  </si>
  <si>
    <t>Transporta infrastuktūra( Gājēju un velosipēdu infrasturktūra),  Lietišķās atpūtas vietas</t>
  </si>
  <si>
    <t>Lietišķās atpūtas vieta</t>
  </si>
  <si>
    <t>Gājēju ietve no Ķekavas uz Odukalna pieturu gar valsts autoceļu A7 (Rīga- Bauska- Lietuvas robeža)</t>
  </si>
  <si>
    <t>Valsts</t>
  </si>
  <si>
    <t>Realizēts</t>
  </si>
  <si>
    <t>Transporta infrastruktūra (Gājēju un velosipēdu infrastruktūra)</t>
  </si>
  <si>
    <t>Apgaismotas  ietves izbūve no Ķekavas sabiedriskā transporta pieturas līdz Odukalna sabiedriskā transporta pieturai (līdz gājēju pārejai)</t>
  </si>
  <si>
    <t>K24</t>
  </si>
  <si>
    <t>Gājēju ietve - Ziemeļu iela</t>
  </si>
  <si>
    <t xml:space="preserve">No Gaismas ielas līdz Ziemeļu ielai notiek ietves būvniecība (gar Brīvības ielu). Būvniecība 2023. </t>
  </si>
  <si>
    <t>Apgaismotas ietves izbūve no A7 līdz putnu fabrikai (savienojums  ar plānoto  gājēju un velosipēdu ceļu). Izvietot lietišķās atpūtas vietas (S tips).</t>
  </si>
  <si>
    <t xml:space="preserve">Projektēšana 2023.gadā. Soli un apgaisme līdz A5 </t>
  </si>
  <si>
    <t>Apgaismotas ietves izbūve no A7 līdz putnu fabrikai (savienojums  ar plānoto  gājēju un velosipēdu ceļu). Izvietot lietišķās atpūtas vietas.</t>
  </si>
  <si>
    <t>K25</t>
  </si>
  <si>
    <t xml:space="preserve">Gājēju ietve - Mazā senču iela,  Atmodas iela, </t>
  </si>
  <si>
    <t>80700081311,
80700082675</t>
  </si>
  <si>
    <t>Apgaismotas ietves izbūve no Ziemeļu ielas līdz Pliederu ielai. Izvietot lietišķās atpūtas vietas (S tips).</t>
  </si>
  <si>
    <t>Pliederu ielas lietišķais labiekārtojums</t>
  </si>
  <si>
    <t>Izveidots gājēju ceļš</t>
  </si>
  <si>
    <t xml:space="preserve"> Lietišķās atpūtas vietas</t>
  </si>
  <si>
    <t>Izvietot lietišķās atpūtas vietas (S tips).</t>
  </si>
  <si>
    <t>Nākotnes ielas gājēju un velosipēdistu infrastruktūra</t>
  </si>
  <si>
    <t xml:space="preserve">Apgaismota  gājēju ietve no Kanāla ielas līdz Jaunie Ķekavas kapi </t>
  </si>
  <si>
    <t>Nākotnes ielas lietišķais labiekārtojums</t>
  </si>
  <si>
    <t>Izvietot lietišķās atpūtas vietas (S/M tips) Nākotnes ielas garumā līdz Jaunie Ķekavas kapi (80700110113).</t>
  </si>
  <si>
    <t>Lietišķās atpūtas vieta (S/M)</t>
  </si>
  <si>
    <t>K29</t>
  </si>
  <si>
    <t>Pļavu ielas gājēju infrastruktūra</t>
  </si>
  <si>
    <t>Ietves izbūve no  A7 līdz  Rīgas HES. Izvietot lietišķās atpūtas vietas (S tips).</t>
  </si>
  <si>
    <t>Pļavu ielas lietišķais labiekārtojums</t>
  </si>
  <si>
    <t>Sabiedriskā transporta pietura "Ķekava" pie autoceļa A7</t>
  </si>
  <si>
    <t>Sabiedriskā  transporta pieturas</t>
  </si>
  <si>
    <t>Veikt pieturas pārbūvi, veidojot kā L tipa sabiedriskā transporta pieturu.</t>
  </si>
  <si>
    <t>Sabiedriskā transporta galapietura "Ķekavas pilsēta" pie Gaismas ielas 21</t>
  </si>
  <si>
    <r>
      <t xml:space="preserve">Rīgas plānošanas reģiona mobilitātes izpēte. Paredzēts kā Reģionālais mobilitātes punkts.  Finansējums no pašvaldības. </t>
    </r>
    <r>
      <rPr>
        <sz val="10"/>
        <color rgb="FFFF0000"/>
        <rFont val="Myriad Pro"/>
        <charset val="186"/>
      </rPr>
      <t xml:space="preserve">Kāda ir prioritāte?  </t>
    </r>
  </si>
  <si>
    <t>Dārznieku ielas gājēju un velosipēdistu infrastruktūra</t>
  </si>
  <si>
    <t>Apgaismotas ietves izbūve A7 līdz īpašumam Dārznieku iela 30 (80700083112)</t>
  </si>
  <si>
    <t>Gaismas ielas lietišķais labiekārtojums</t>
  </si>
  <si>
    <t>Lietišķās atpūtas vietas</t>
  </si>
  <si>
    <t>K34</t>
  </si>
  <si>
    <t>Akotu ielas gājēju un velosipēdu infrasturktūra</t>
  </si>
  <si>
    <t>Apgaismotas gājēju ietves izbūve (dzīvojamās zonas, gājēju prioritārās zonas noteikšana) no A7- tilts pāri Titurgas upei - Pļavniekkalna iela. Lietišķās atpūtas vietu izvietošana (S tips).</t>
  </si>
  <si>
    <t>K35</t>
  </si>
  <si>
    <t>Lietišķās atpūtas vietas gar A7 posmā no Krustkalniem līdz Odukalnam</t>
  </si>
  <si>
    <t xml:space="preserve">Pie veloceļa izbūves izveidotas atpūtas - vietas soliņi, velostatīvi,miskastes.
Pie Mežmalas ielas būs tunelis A7 rekonstrkcijas ietvaros. Reknstrukcija no Rīgas robežas līdz gājēju tunelim ir pirmsprojketa izpēte. Nav zināms pa kuru pusi un kurš maksā 
Veloceļš daļēji izbūvēt un būs realizēts Ķeķavas apvecdeļa ietvaros. No Krogsila līdz Ķekavai jau ir no Pļavniekkalna ielas pagrieziena līdz Gaismas iela Ķekavā gatavs 
</t>
  </si>
  <si>
    <t>Papildināt A7 šosejas malas ar lietišķās atpūtas vietām (s tipa)</t>
  </si>
  <si>
    <t>No Plavniekkalna ielas pieturas līdz Naudītes ielai</t>
  </si>
  <si>
    <t>-</t>
  </si>
  <si>
    <t>Ir izstrādāts būvprojekts. Būvniecība 2023.gads.</t>
  </si>
  <si>
    <t xml:space="preserve">Sausās Daugavas dabas parks </t>
  </si>
  <si>
    <t>Dabas un apstādījumu teritorija (Skvērs, Parks, Mežaparks)</t>
  </si>
  <si>
    <t>Izveidot Daugavā  dabas takas</t>
  </si>
  <si>
    <t>Parks. Laipas. 12ha. 2km lapas uz pāļiem</t>
  </si>
  <si>
    <t xml:space="preserve">Parks </t>
  </si>
  <si>
    <t>Laivu nolaišanas vieta Daugavā Upes ielas galā</t>
  </si>
  <si>
    <t>Laivu nolaišanas vieta ūdenī</t>
  </si>
  <si>
    <t>Laivu nolaišanas vieta</t>
  </si>
  <si>
    <t>Pļavniekkalna skolas priekšlaukums, Katlakalns, Pļavniekkalna iela 20</t>
  </si>
  <si>
    <t>Skolai top piebūve. Tiks labiekārtots priekšlaukums</t>
  </si>
  <si>
    <t>Sabiedriskas ēkas priekšlaukums</t>
  </si>
  <si>
    <t>Atpūtas vieta "Nēģīši", Katlakalns, Ievu ielas galā</t>
  </si>
  <si>
    <t xml:space="preserve">2023.gadā tiek pārbūvētas novecojušās kāpnes </t>
  </si>
  <si>
    <t xml:space="preserve">Atpūtas vieta pie ūdens, labiekārtošana </t>
  </si>
  <si>
    <t>Atpūtas vieta pie ūdens, labiekārtošana</t>
  </si>
  <si>
    <t>Katlakalna tautas nams, Pļavniekkalna iela 35, Katlakalns</t>
  </si>
  <si>
    <t xml:space="preserve">-  </t>
  </si>
  <si>
    <t>Pieeja pie Daugavas, "Kaļķīši" (Ģipšustūris), Katlakalns</t>
  </si>
  <si>
    <t>Ir atvestas smiltis pludmalei</t>
  </si>
  <si>
    <t>Teritorijas funkcionālas izmaiņas, gājēju infrastruktūra, norāde, lietišķās atpūtas vietas (S/M tipa) labiekārtojums.</t>
  </si>
  <si>
    <t>Vēju ielas atpūtas vieta pie ūdens, “Ziedonis” (pie Vēju ielas), Katlakalns</t>
  </si>
  <si>
    <t>R9</t>
  </si>
  <si>
    <t>Katlakalna katoļu baznīcas teritorija (6700), ``Ticības``, Katlakalns</t>
  </si>
  <si>
    <t>Sauliešu pilskalns ar apmetni (2094), Katlakalns, Akmeņsalas iela 1.</t>
  </si>
  <si>
    <t>Dabas un apstādījumu teritorija (Parks, Skvērs, Mežaparks), Kultūrvēsturiska teritorija</t>
  </si>
  <si>
    <t>Norāde</t>
  </si>
  <si>
    <t>Pļavniekkalna skolas senkapi pretī zemesgabalam Pļavniekkalnu ielā 20</t>
  </si>
  <si>
    <t>Pļavniekkalna skolas senkapi ar aizsardzības Nr. 2093 ir izslēgti no valsts aizsargājamo kultūras pieminekļu saraksta.</t>
  </si>
  <si>
    <t>Ziedoņa  skvērs pie Mazlēpju, Ozolīšu ielām un autoceļa V2 (Valdlauči - Rāmava)</t>
  </si>
  <si>
    <t>Skvēra rekonstrukcija - gājēju zona, lietišķās atpūtas vieta (L tips), apstādījumu zona.</t>
  </si>
  <si>
    <t>Skvērs, rotaļu elementi</t>
  </si>
  <si>
    <t>Skvērs</t>
  </si>
  <si>
    <t>Mežaparka zona "Baltā kāpa"</t>
  </si>
  <si>
    <t>Rīgas valstpilsētai piederošs īpašums</t>
  </si>
  <si>
    <t>Ceļu tīkls, savienojums ar citām rekreācijas teritorijām</t>
  </si>
  <si>
    <t>Mežaparks</t>
  </si>
  <si>
    <t>Ķekavas pašvaldības īpašums "Foreles"</t>
  </si>
  <si>
    <t>Dabas un apstādījumu teritorija (Skvērs, Parks, Mežaparks), Atpūtas vieta pie ūdens</t>
  </si>
  <si>
    <t>Teritorjias iekļaušana kopējā taku tīklā (maršrutā) gar Daugavu. Attīstība uzsākama pēc tam, kad tiks veikta attīstība īpašumā ar kadastra Nr. 80700050114</t>
  </si>
  <si>
    <t>Gājēju taka gar Daugavu</t>
  </si>
  <si>
    <t>R13</t>
  </si>
  <si>
    <t>Zemes gagals "Ābuli" pie autoceļa V2 (Valdlauči -Rāmava)</t>
  </si>
  <si>
    <t xml:space="preserve"> Pašvaldība</t>
  </si>
  <si>
    <t>Lietišķās atpūtas vietas (S tipa), automašīnu stāvlaukuma zona, velosipēdu novietņu zona, aktīvās atpūtas zona - sporta laukums, stadions, bērnu rotaļu laukums (L tipa)</t>
  </si>
  <si>
    <t>Publiskais sporta laukums</t>
  </si>
  <si>
    <t>Plānota Katlakalna skolas vieta pie autoceļa V2 (Valdlauči -Rāmava)</t>
  </si>
  <si>
    <t>Rotaļu laukums (L)</t>
  </si>
  <si>
    <t>Bērnu rotaļu un sporta laukums L</t>
  </si>
  <si>
    <t xml:space="preserve"> Ir plānots asfaltēt Sporta ielu 2023.gadā. </t>
  </si>
  <si>
    <t>Aktīvās atpūtas labiekārtojuma elementi (L vai XL tipa)</t>
  </si>
  <si>
    <t>Aktīvās atpūtas labiekārtojuma  (L vai XL tipa)</t>
  </si>
  <si>
    <t xml:space="preserve">Aktīvās atpūtas labiekārtojums XL </t>
  </si>
  <si>
    <t>Sabiedriskā transporta pietura "Pļavniekkalns" , pie Pļavniekkalna ielas 20 (Pļavniekkalna sākumskolas)</t>
  </si>
  <si>
    <t>Sabiedriskā transporta pietura "Katlakalns", Ģipšustūrī</t>
  </si>
  <si>
    <t>Sabiedriskā trnasporta pietura " Kooperatīvs Ziedonis" pie zemes gabala ``Katlakalna kapi``, Katlakalns,</t>
  </si>
  <si>
    <t>Pļavniekkalna ielas lietišķais labiekārtojums</t>
  </si>
  <si>
    <t xml:space="preserve">Ir izstrādāts projekts 1 atpūtas vietas izveidei (kabatiņa ar solu, miskasti, velostatīvu). </t>
  </si>
  <si>
    <t>Izvietot lietišķās atpūtas vietas (S/M tips).</t>
  </si>
  <si>
    <t>Rāmavas muiža, Rakstnieka G.Merķeļa dzīvesvieta (92), Rāmavas iela 9,</t>
  </si>
  <si>
    <t xml:space="preserve">Nomas līgums tuvojas beigām. Nav veikti ieguldījumi. </t>
  </si>
  <si>
    <t> ``Rāmaviņa``, Sporta un bērnu rotaļu laukums, ``Rāmaviņa``, Rāmava</t>
  </si>
  <si>
    <t xml:space="preserve">Veikts rotaļu laukuma papildinājums </t>
  </si>
  <si>
    <t>Norādes uz rekreācijas teritoriju</t>
  </si>
  <si>
    <t>Rāmavas ielas lietišķais labiekārtojums</t>
  </si>
  <si>
    <t xml:space="preserve">Ir izstrādāts projekts 2 atpūtas vietas izveidei (kabatiņa ar solu, miskasti, velostatīvu). </t>
  </si>
  <si>
    <t>Izvietot lietišķās atpūtas vietas (S/M tips)</t>
  </si>
  <si>
    <t>Ķekavas pašvaldības īpašums "Rudzāji", Rāmava</t>
  </si>
  <si>
    <t>Parks</t>
  </si>
  <si>
    <t>Sabiedriskā transporta pietura "Rāmava" pie Rāmavas ielas un autoceļa V2 (Valdlauči - Rāmava) krustojuma</t>
  </si>
  <si>
    <t>R24</t>
  </si>
  <si>
    <t>V2 valsts ceļa gājēju un velosipēdu infrasturktūra</t>
  </si>
  <si>
    <t xml:space="preserve">Izbūvēta ietve un "kabatiņas" ar soliņiem,miskasti, velostatīviem posmā no Egļu līdz Bauskas ielai. Posmā no Egļu ielas līdz Kāpu ielai būvniecības stadijā (2023.g.) </t>
  </si>
  <si>
    <t xml:space="preserve">Apgaismotas ietves izbūve visā  V2 ceļa garumā.  Lietišķās atpūtas vietu izvietošana (S tipa). </t>
  </si>
  <si>
    <t xml:space="preserve"> Sabiedriskā transporta pieturvietas pie 62 un 63. Un 75 </t>
  </si>
  <si>
    <t>B1</t>
  </si>
  <si>
    <t>Baloži (Titurga)</t>
  </si>
  <si>
    <t xml:space="preserve">Uzvaras prospekts 1A, Baloži </t>
  </si>
  <si>
    <t xml:space="preserve">
80070010136</t>
  </si>
  <si>
    <t>Ir izstrādāts projekts (strūklaku demontāža, laukuma nobruģēšana, apstādījumi).  2022.g bērnu laukumā veco rotaļu elements aizstāšana ar jaunu.</t>
  </si>
  <si>
    <t>Priekšlaukuma rekonstrukcija, funkcionālā zonējuma izmaiņas - gājēju zona, autostāvlaukums, ieejas zonas, apstādījumu zona.</t>
  </si>
  <si>
    <t>Zaļā iela 4, Zaļā iela , Baloži</t>
  </si>
  <si>
    <t>80070010608,  80070010516</t>
  </si>
  <si>
    <t xml:space="preserve">Sakārtots ceļu tīkls, izbūvēts apgasimojums, papildu sporta un rotaļu elementi.  </t>
  </si>
  <si>
    <t>Koku retināšana, segumi zem bērnu rotaļu laukumiem.</t>
  </si>
  <si>
    <t>Koku stādījumu retināšana</t>
  </si>
  <si>
    <t>B3</t>
  </si>
  <si>
    <t>Baložu kultūras nama laukums "Varde", Skolas iela 4, Baloži</t>
  </si>
  <si>
    <t xml:space="preserve">Ir uzlikts interkatīvais info stends un elektrouzlādes punkts. </t>
  </si>
  <si>
    <t>Izvērtēt esošo koku dzīvotspēju un veikt sanitāru tīrīšanu. Atjaunot bērnu rotaļu laukumu segumus.</t>
  </si>
  <si>
    <t>Baložu viduskolas apkārtne, Skolas iela 6, Baloži</t>
  </si>
  <si>
    <t xml:space="preserve">Izbūvēts stadions un piebūve, labiekārtota apkārtējā teritorija. Bērzu ielas galā galds plus sols plus miskaste un norādes uz Bānīti. </t>
  </si>
  <si>
    <t>Stadiona pārbūve</t>
  </si>
  <si>
    <t>Sporta stadions</t>
  </si>
  <si>
    <t>Daudzdzīvokļu māju iekšpagalms/skvērs, Medema iela 11</t>
  </si>
  <si>
    <t>Apstādījumu papildināšana (koku un krūmu stādījumi), rotaļu iekārtu papildināšana, lietišķās atpūtas vietas/laukums (L tipa). Savienojums ar citām rekreācijas teritorijām.</t>
  </si>
  <si>
    <t>Daudzdzīvokļu māju iekšpagalmi</t>
  </si>
  <si>
    <t>Tirdzniecības centra priekšlaukums. Rīgas iela 14, Baloži,</t>
  </si>
  <si>
    <t>2021.g. talkas ietvaros izveidota dekoratīvo krūmu dobe. Soliņi nav, bet nepieciešami</t>
  </si>
  <si>
    <t xml:space="preserve">Lietišķās atpūtas labiekārtojuma elementu atjaunošana. </t>
  </si>
  <si>
    <t xml:space="preserve">Mežaparka zona, Titurgas ezera atpūtas vieta pie ūdens Baloži, Ezera iela 7 </t>
  </si>
  <si>
    <t xml:space="preserve">80070021311 (ezera teritorija, atpūtas vietas un piegulošā zona Ezera ielai) </t>
  </si>
  <si>
    <t>Jaukta statusa īpašums, potenciāls</t>
  </si>
  <si>
    <t>Gājēju ceļu tīkls, savienojums starp pludmalēm. Savstarpēji saskaņots labiekārtojuma elementu dizains</t>
  </si>
  <si>
    <t>Mežaparka, kāpas zona starp Purva un Kalnu ielām</t>
  </si>
  <si>
    <t>Ceļu tīkls, atpūtas vietas, bērnu ziemas aktivitāšu vieta (šļūkšanas kalniņš). Uzlabot šļūkšanas trases kvalitāti.</t>
  </si>
  <si>
    <t>Ziemas atpūtas vieta</t>
  </si>
  <si>
    <t>B9</t>
  </si>
  <si>
    <t>Saulgriežu ielas gājēju un velosipēdistu infrastruktūra</t>
  </si>
  <si>
    <t xml:space="preserve">Asfalts un ietve. Projektēšana posmam no Miglas ielas. Projektēšanas 2. kārta.  </t>
  </si>
  <si>
    <t>Apgaismotas ietves izbūve Saulgriežu ielas visā garumā. Lietišķās atpūtas vietu izvietošana (S tips)</t>
  </si>
  <si>
    <t>Transporta infrastruktūra - kājāmgājēju un velosipedistu  infrastruktūras pilnveidošana</t>
  </si>
  <si>
    <t>Transporta infrastruktūra - kājāmgājēju un velosipedistu infrastruktūras pilnveidošana (asfalts)</t>
  </si>
  <si>
    <t xml:space="preserve">Soli, apgaismojums, Izbūvētas un izveidotas 2 pieturas sabiedriskajam trasprotam. </t>
  </si>
  <si>
    <t>B10</t>
  </si>
  <si>
    <t>Miglas ielas gājēju un velosipēdistu infrastruktūra</t>
  </si>
  <si>
    <t xml:space="preserve">Asfalts un ietve, soli, apgaismojums, ietve, </t>
  </si>
  <si>
    <t>Apgaismotas ietves izbūve no Saulgriežu ielas līdz Ezera ielai. Lietišķās atpūtas vietu izvietošana (S tips)</t>
  </si>
  <si>
    <t>Transporta infrastruktūra - kājāmgājēju un velosipedistu infrastruktūras pilnveidošana</t>
  </si>
  <si>
    <t>B11</t>
  </si>
  <si>
    <t>Titurgas ielas gājēju un velosipēdistu infrastruktūra</t>
  </si>
  <si>
    <t>Apgaismotas ietves izbūve no Saulgriežu ielas līdz Ezera ielai. Lietišķās atpūtas vietu izvietošana(S tips)</t>
  </si>
  <si>
    <t>B12</t>
  </si>
  <si>
    <t>Lapenieku ielas gājēju un velosipēdistu infrastruktūra</t>
  </si>
  <si>
    <t xml:space="preserve">Ieklāts asfalts Ezera ielā posmā no Uzvaras prospekts 31 līdz Miglas ielai. Paredzēta gājēju un veloinfrastruktūra. </t>
  </si>
  <si>
    <t>Apgaismotas gājēju ietves izbūve no Ezera ielas līdz Uzvaras prospektam. Lietišķās atpūtas vietu izvietošana(S tips)</t>
  </si>
  <si>
    <t>Izveidotas atpūtas vietas.</t>
  </si>
  <si>
    <t>B13</t>
  </si>
  <si>
    <t>Uzvaras prospekta gājēju un velosipēdistu infrastuktūra.</t>
  </si>
  <si>
    <t>Ir veikta Uzvaras prospekta rekonstrukcija.</t>
  </si>
  <si>
    <t>Rekonstruēt bojāto ietves segumu, veidot ietves līdz Lapenieku ceļam.</t>
  </si>
  <si>
    <t>Sabiedriskā transporta pieturas  "Sūkņu stacija" labiekārtojums pie zemes gabala Baložu ielā 4</t>
  </si>
  <si>
    <t>Sabiedriskā transporta pieturas "Baloži" pie zemes gabala Rīgas ielā 19</t>
  </si>
  <si>
    <t>Sabiedriskā transporta pietura "Skola" pie zemes gabala Rīgas ielā 14</t>
  </si>
  <si>
    <t>Valdlauču parks starp Meistaru ielu un autoceļu V1 (Valdlauči - Rāmava)</t>
  </si>
  <si>
    <t>Papildināts ar rotaļu elementiem</t>
  </si>
  <si>
    <t>Ceļu tīkls un bērnu rotaļu un sporta zonu robežu definēšana - segumi zem rotaļu iekārtām</t>
  </si>
  <si>
    <t>Atpūtas ielas posma pārveide par koplietošanas ielas telpu ar prioritāti gājējiem, tilts pāri Olektes upei</t>
  </si>
  <si>
    <t>Dabas un apstādījumu teritorija (Parks, Skvērs, Mežaparks), Transporta infrastruktūras teritorija (Gājēju un velosipēdu infrastruktūra)</t>
  </si>
  <si>
    <t>Norāde uz Olektes upi - savienojuma veidošana ar citām rekreācijas teritorijām</t>
  </si>
  <si>
    <t>Sabiedriskā transporta pietura "Valdlauču centrs" uz Bauskas ielas (autoceļa V1 Valdlauči - Rāmava)</t>
  </si>
  <si>
    <t>R28</t>
  </si>
  <si>
    <t>Mazās Rāmavas ielas gājēju un velosipēdistu infrastruktūra</t>
  </si>
  <si>
    <t>Ceļa un  ietves. Gājēju ielas - iespējams) izbūve no  V2 līdz Bauskas ielai. Lietišķās atpūtas vietu izvietošana.</t>
  </si>
  <si>
    <t>D1</t>
  </si>
  <si>
    <t>Daugmales pilskalns</t>
  </si>
  <si>
    <t>Iztīrīta aizaugusī Varžupīte. Uzstādīts info stends.</t>
  </si>
  <si>
    <t>Dabas un apstādījumu teritorija (Parks, Skvērs, Mežaparks), Kultūrvēsturiska teritorija, Atpūtas vieta pie ūdens</t>
  </si>
  <si>
    <t>Pieejamības uzlabošana  ierīkojot gājēju ceļu tīklu un  lietisķās atpūtas vietas (L tipa pie "ieejas zonas" un S tipa pārējā teritorijā)</t>
  </si>
  <si>
    <t>Pašvaldības īpašums "Vedmeri", Senču svētkalniņš. Vedmeru parks</t>
  </si>
  <si>
    <t>80560020264 (labiekārtotā atpūtas vieta pie ūdens)</t>
  </si>
  <si>
    <t xml:space="preserve"> Uzlabota laivu ielaišanas vieta ūdenī. </t>
  </si>
  <si>
    <t>Gājēju ceļu tīkls, gar ceļiem S tipa lietišķās atpūtas vietas, piknika vietas/skatu vietas (L tipa lietišķās atpūtas vieta). Nepieciešama pameža tīrīšana 10 m no gājēju ceļa ass.</t>
  </si>
  <si>
    <t>D3</t>
  </si>
  <si>
    <t>Atpūtas vieta pie ūdens pretī Nāvessalai (Ķīķerītis)</t>
  </si>
  <si>
    <t>Pieejamības uzlabošana savienojot to ar citām rekreācijas teritorijām, lietišķās atpūtas vietas labiekārtojuma papildināšana (L tipa), informatīvas zīmes par Nāves salas vēsturisko nozīmi</t>
  </si>
  <si>
    <t>Laivu piestātnes izbūve Nāvessalas ceļa galā</t>
  </si>
  <si>
    <t>Atpūtas vietas pie ūdens  labiekārtojums.</t>
  </si>
  <si>
    <t>Daugmales pagasta  pārvaldes priekšlaukums, “Salnas”, Daugmale</t>
  </si>
  <si>
    <t xml:space="preserve">Jauns asflats. Sakārtota piebraukšana. Nav bedres. </t>
  </si>
  <si>
    <t>Lietišķās atpūtas vieta (L tipa) noņemt autostāvvietas funkciju</t>
  </si>
  <si>
    <t>Daugmales Multifunkcionālā centra priekšlaukums, “Salnas”, Daugmale</t>
  </si>
  <si>
    <t xml:space="preserve">
80560020753</t>
  </si>
  <si>
    <t xml:space="preserve">Uzstādīts rotaļu elements. </t>
  </si>
  <si>
    <t>Daugmales pamatskola, "Skola", Daugmale</t>
  </si>
  <si>
    <t>Skolas sporta laukumā uzstādīts multifunkcionālās vingrošanas iekārtas.</t>
  </si>
  <si>
    <t>Velosipēdu zonas palielināšana. Aktīvās atpūtas zonas labiekārtojuma uzlabošana.</t>
  </si>
  <si>
    <t>Daugmales dīķa Z-daļas parks, "Vērmeles", Daugmale, pie Raģu ceļa</t>
  </si>
  <si>
    <t>80560020271, 80560020640</t>
  </si>
  <si>
    <t>Gājēju ceļa tīkls, ērta gājēju pāreja pāri šosejai un  lietišķās atpūtas vietas (M tipa). Potenciāli arī aktīvās atpūtas vieta - bērnu rotaļu laukums - M vai L tipa.</t>
  </si>
  <si>
    <t>Gājēju ietve un velo infrastruktūra  no Vedmeru ceļa līdz Daugmales centram.</t>
  </si>
  <si>
    <t>80560020565, 
80560020380</t>
  </si>
  <si>
    <t>Valsts, Fiziska persona</t>
  </si>
  <si>
    <t xml:space="preserve">Pieejamības uzlabošana ierīkojot gājēju ceļu tīklu, kāpnes pie objekta "Važu rāvējs". Potenciāla vieta kāzu ceremoniju rīkošanā </t>
  </si>
  <si>
    <t>Pieejamības uzlabošana ierīkojot velo infrastruktūru</t>
  </si>
  <si>
    <t>Gājēju ietve un velo infrastruktūra no Daugmales centra līdz Bēgļu ceļam gar autoceļu P85 (Rīgas HES - Jaunjelgava)</t>
  </si>
  <si>
    <t>Apgaismots  apvienotais gājēju un velosipēdu ceļš, apgaismots. Gājēju pārejas un savienojumi ar esošajām sabiedriskā transporta pieturām.</t>
  </si>
  <si>
    <t>Sabiedriskā transporta pietura "Kalniņi" uz autoceļa P85 (Rīgas HES - Jaujelgava) pie zemes gabala "Ziedkalniņi", Daugmale</t>
  </si>
  <si>
    <t>Veikt pieturas pārbūvi, veidojot  M tipa sabiedriskā transporta pieturu.</t>
  </si>
  <si>
    <t>Lietišķās atpūtas vietas gar P85 no Salaspils rotacijas apļa līdz Daugmalei</t>
  </si>
  <si>
    <t>Papildināt P85 šosejas malas ar lietišķās atpūtas vietām (s tipa)</t>
  </si>
  <si>
    <t>Sabiedriskā transporta pietura "Nabiņas" uz autoceļa V9 (Iecava - Baldone - Daugmale)</t>
  </si>
  <si>
    <t>Uzlabot pieturas labiekārtojumu.</t>
  </si>
  <si>
    <t>Sabiedriskā transporta pietura "Celmi" uz autoceļa V9 (Iecava - Baldone - Daugmale)</t>
  </si>
  <si>
    <t>Sabiedriskā transporta pietura "Ezeri" uz autoceļa V9 (Iecava - Baldone - Daugmale)</t>
  </si>
  <si>
    <t>Sabiedriskā transporta pietura "Lejas ezers" uz autoceļa V9 (Iecava - Baldone - Daugmale)</t>
  </si>
  <si>
    <t>Atpūtas vieta pie Rīgas HES dambja dienvidaustrumu pusē (HES apkalpes ceļa galā)</t>
  </si>
  <si>
    <t>Joprojām diskusija par piekļuvi ar īpašniekiem</t>
  </si>
  <si>
    <t xml:space="preserve">Dzērumu ciema aktīvās atpūtas laukums, Aviators 71 </t>
  </si>
  <si>
    <t xml:space="preserve">Izveidot jaunu atpūtas vietu Dzērumu ciemā, ka sparedzēta visu vecumu iedzīvotājiem. Ietvert sporta laikumu, rotālu laukumu. </t>
  </si>
  <si>
    <t>Aktīvās atpūtas labiekārtojums  (L vai XL)</t>
  </si>
  <si>
    <t>Baldones vidusskolas priekšlaukums pret Iecavas ielu,
Iecavas iela 2, Baldone</t>
  </si>
  <si>
    <t>Teritorijas zaļās zonas papildināšana ar apstādījumiem.</t>
  </si>
  <si>
    <t>Centrālais skvērs,
Daugavas iela 2, Baldone</t>
  </si>
  <si>
    <t>Dabas un apstādījumu teritorija</t>
  </si>
  <si>
    <t>Segumu atjaunošana. Lietišķās atpūtas vietas sakārtošana, papildināšana ar velonovietnēm, soliņiem</t>
  </si>
  <si>
    <t>Baldones kinoteātra (kultūras nama) pieguļošā teritorija,
Daugavas iela 2, Baldone</t>
  </si>
  <si>
    <t>Segumu atjaunošana. Esošā piemiņas akmens pārcelšana uz Ceriņa parka teritoriju. Navigācijas norādes pie kinoteātra. Informācija par objektu "Kultūras nams"</t>
  </si>
  <si>
    <t>Sabiedriskā transporta pietura "Baznīca" pie centrālā skvēra, Daugavas iela 2, Baldone</t>
  </si>
  <si>
    <t>Sabiedriskā transporta pieturas</t>
  </si>
  <si>
    <t>Nojumes izbūve</t>
  </si>
  <si>
    <t>Sabiedriskā transporta pietura (M)</t>
  </si>
  <si>
    <t>Sabiedriskā transporta gala pietura "Baldone" teritorija,
Rīgas iela 91, Baldone</t>
  </si>
  <si>
    <t>Veikt pieturas pārbūvi veidojot kā L tipa pieturu. Segumu atjaunošana. Norādes, velo novietnes, labiekārtojuma elementi,utt.</t>
  </si>
  <si>
    <t>Ceriņu parka turpinājums</t>
  </si>
  <si>
    <t>80050013706, 80050011802</t>
  </si>
  <si>
    <t>Pastaigu takas (laipa) (no sēravota uz Krasta ielas pusi), apgaismojuma, lietišķās atpūtas vietas (S) izbūve.
Potenciāli attīstāma vieta</t>
  </si>
  <si>
    <t>BL7</t>
  </si>
  <si>
    <t>Baldones dīķa atpūtas vieta "Saliņas"</t>
  </si>
  <si>
    <t xml:space="preserve">
80250060213</t>
  </si>
  <si>
    <t>Atpūtas vietas pie ūdens labiekārtošana. Potenciāla bērnu laukuma vietas izveide</t>
  </si>
  <si>
    <t>Atpūtas vietas pie ūdens un bērnu laukuma labiekārtojums.</t>
  </si>
  <si>
    <t>Laivu un SUP nolaišanas vieta ūdenī.</t>
  </si>
  <si>
    <t>Dabas teritorija pie Baldones dīķa "Saliņas"</t>
  </si>
  <si>
    <t>Potenciāla pastaigu taka līdz Baldones zīmei. Potenciāls parks ar lietišķās atpūtas vietām, bērnu rotaļu laukumu.</t>
  </si>
  <si>
    <t>Vanagkalna iela</t>
  </si>
  <si>
    <t>Apgaismotas ietves izbūve līdz Vanagkalna estrādei. Lietišķās atpūtas vietas (S)</t>
  </si>
  <si>
    <t>Jakaru iela - Gaismas iela</t>
  </si>
  <si>
    <t xml:space="preserve">
80250060178</t>
  </si>
  <si>
    <t>Apgaismota gājēju ceļa izbūve līdz skolai</t>
  </si>
  <si>
    <t>Ciņu iela - Dzirnavu iela</t>
  </si>
  <si>
    <t xml:space="preserve">
80050010324</t>
  </si>
  <si>
    <t>Apgaismota gājēju ceļa izbūve. Tiltiņa atjaunošana</t>
  </si>
  <si>
    <t>Transporta infrastruktūra - kājāmgājēju un velosipedistu infrastruktūras izveide</t>
  </si>
  <si>
    <t>Esošs bērnu rotaļu laukums, 
Pārupes iela 3, Baldone</t>
  </si>
  <si>
    <t>Atjaunot un papildināt rotaļu laukumu ar rotaļu elementiem</t>
  </si>
  <si>
    <t>Baldones pārvaldes ēkas priekšlaukums, 
Pārupes iela 3, Baldone</t>
  </si>
  <si>
    <t>Papildināt ar kokaugu stādījumiem. Navigācijas norādes. Lietišķās atpūtas vietas gar gājēju ceļu struktūru.</t>
  </si>
  <si>
    <t>Bērnu rotaļu laukums "Zīļuks" pie Atvaru ielas</t>
  </si>
  <si>
    <t>Lietišķās atpūtas vietas (soliņi ar atzveltnēm, atkritumu urnas). Funkcionāla gājēju ceļu struktūra un seguma uzlabošana</t>
  </si>
  <si>
    <t>Rīgas iela no Daugavas ielas līdz Mežvidu ielai</t>
  </si>
  <si>
    <t>Lietišķās atpūtas vietas izbūve. Apvienotā gājēju un veloc ceļa uzlabošana (zīmes, marķējums)</t>
  </si>
  <si>
    <t>Lietišķās atpūtas vietas  (S)</t>
  </si>
  <si>
    <t>Baltās pils parks un teritorija, Daugavas iela 23, Baldone</t>
  </si>
  <si>
    <t>Saskaņotu labiekārtojuma elementu izvietošana. Segumu atjaunošana. Ceļu struktūras izbūve uz gājēju tiltiņu. Kokaugu stādījumu papildināšana blakus parka teritorijā. Aktīvās atpūtas infrastruktūras elementu un segumu atjaunošana.</t>
  </si>
  <si>
    <t>Zīļu iela</t>
  </si>
  <si>
    <t>Lietišķās atpūtas vietas izbūve</t>
  </si>
  <si>
    <t>Teritorija pie Baldones zīmes uz Rīgas un Saules ielas krustojuma (pie zemes gabala Rīgas ielā 20)</t>
  </si>
  <si>
    <t xml:space="preserve">Potenciāla pastaigas, laipas taka līdz centra dīķim. Bērnu rotaļu laukums </t>
  </si>
  <si>
    <t>Mercendarbes muižas parks</t>
  </si>
  <si>
    <t>Parka labiekārtošana. Ceļu, lietišķās atpūtas vietu ierīkošana, dīķa tīrīšana, laipas izveide</t>
  </si>
  <si>
    <t>Mercendarbes ceļš (liepu aleja)</t>
  </si>
  <si>
    <t>Seguma atjaunošana ar kokiem draudzīgām metodēm. Paredzēt iebrauktuves uz zemes vienībām</t>
  </si>
  <si>
    <t>Baldones pagasts</t>
  </si>
  <si>
    <t>Sabiedriskā transporta pietura "Rasiņas" uz autoceļa  V9 (Iecava - Baldone - Daugmale)</t>
  </si>
  <si>
    <t>Veikt platformas izbūvi</t>
  </si>
  <si>
    <t>Sabiedriskā transporta pietura "Brāļu kapi" uz Rīgas ielas</t>
  </si>
  <si>
    <t>Veikt platformas izbūvi. M tipa autobusa pietura</t>
  </si>
  <si>
    <r>
      <rPr>
        <sz val="10"/>
        <color rgb="FF000000"/>
        <rFont val="Myriad Pro"/>
      </rPr>
      <t>Sabiedriskā transporta pietura "Senču veikals"</t>
    </r>
    <r>
      <rPr>
        <sz val="10"/>
        <color rgb="FFFF0000"/>
        <rFont val="Myriad Pro"/>
      </rPr>
      <t xml:space="preserve"> </t>
    </r>
    <r>
      <rPr>
        <sz val="10"/>
        <color rgb="FF000000"/>
        <rFont val="Myriad Pro"/>
      </rPr>
      <t xml:space="preserve"> Vārpās uz autoceļa V9 (Iecava - Baldone - Daugmale)</t>
    </r>
  </si>
  <si>
    <t>M tipa autobusa pietura</t>
  </si>
  <si>
    <t>Mežvidu ielas gājēju infrastruktūra (virziens uz bij. pansionātu)</t>
  </si>
  <si>
    <t>80050010114, 
80250060375</t>
  </si>
  <si>
    <t>Gājēju infrastruktūras izveide, apgaismojums</t>
  </si>
  <si>
    <t>Ceriņu iela (aiz pirmsskolas iestādes)</t>
  </si>
  <si>
    <t>Gājēju ietve. Autostāvvietas gar ielu. Lietišķās atpūtas vieta</t>
  </si>
  <si>
    <t>Transporta infrastruktūra - kājāmgājēju un velosipedistu infrastruktūras pilnveidošana.
Lietišķās atpūtas vietas (S).</t>
  </si>
  <si>
    <t>Ceriņu iela 1 teritorija (aiz pirmsskolas iestādes)</t>
  </si>
  <si>
    <t>Potenciāla labiekārtotas zaļās teritorijas attīstība, lietišķās atpūta vietas, gājēju ceļu struktūra, kokaugi Automašīnu stāvvietas.</t>
  </si>
  <si>
    <t>Daugavas ielas bērnu laukuma teritorija pretī zemes gabalam Daugavas ielā 15</t>
  </si>
  <si>
    <t>Rotaļu elementu atjaunošana.
Piekļuves uzlabošana.
Norobežojošs nožogojums, stādījumi</t>
  </si>
  <si>
    <t>Vanagkalnu estrādes teritorija, Vanagkalnu iela 50</t>
  </si>
  <si>
    <t xml:space="preserve">Esošās infrastruktūras atjaunošana. </t>
  </si>
  <si>
    <t>Esošā labiekārtojuma pilveidošana, atjaunošana. Būvprojekta izstrāde</t>
  </si>
  <si>
    <t>Vanagkalnu dabas parka teritorija</t>
  </si>
  <si>
    <t>Potenciāla bērnu rotaļu laukuma izveide. Ceļu struktūra, lietišķās atpūtas vietas. Autostāvvietu izbūve</t>
  </si>
  <si>
    <t>Rīgas iela (autoceļš P91 Mežvidi - Baldone)  no Mežvidu ielas līdz Mežvidiem (pilsētas robežai)</t>
  </si>
  <si>
    <t>Lietišķo atpūtas vietu izbūve. Apvienotā gājēju un velo ceļaa izbūve (zīmes, marķējums). Apgaismojums.</t>
  </si>
  <si>
    <t>Baldone, Mercendarbe</t>
  </si>
  <si>
    <t>Gājēju ceļš - V9 (Iecava - Baldone - Daugmale) no Baldones esošā gājēju ceļa līdz Mercendarbei</t>
  </si>
  <si>
    <t>Apvienotais gājēju - velo ceļš, Apgaismojums, 2 lietišķās atpūtas vietas.</t>
  </si>
  <si>
    <t>Baldones pagasts, Daugmales pagasts</t>
  </si>
  <si>
    <t>Pastaigu/ tūrisma maršruts Baldone- Daugmale</t>
  </si>
  <si>
    <t>Pašvaldība/ LVM</t>
  </si>
  <si>
    <t>Gājēju takas marķējums, lietišķās atpūtas vietas, norādes</t>
  </si>
  <si>
    <t>Tūrisma, pastaigu takas izveide.</t>
  </si>
  <si>
    <t>m</t>
  </si>
  <si>
    <t>Aktīvās atpūtas laukums pie Baldones sporta kompleksa, Iecavas iela 2, Baldone</t>
  </si>
  <si>
    <t>Potenciāli attīstāms par XL aktīvās atpūtas laukumu papildinot ar rotaļu laukumu. Papildināt ar lietišķās atpūtas vietām, āra tualeti, norādēm</t>
  </si>
  <si>
    <t>Sabiedriskā transporta pietura "Mežvidi" uz autoceļa P89 (Ķekava - Skaistkalne)</t>
  </si>
  <si>
    <t>Veikt nojumes izbūvi</t>
  </si>
  <si>
    <t>Sabiedriskā transporta pietura "Mīlu kalni"  uz autoceļa V9 (Iecava - Baldone - Daugmale)</t>
  </si>
  <si>
    <t>Veikt platformas, soliņu izbūvi</t>
  </si>
  <si>
    <t>Sabiedriskā transporta pietura "Stūri 1"  uz autoceļa V9 (Iecava - Baldone - Daugmale)</t>
  </si>
  <si>
    <t>Veikt platformas, soliņu izbūvi. Esošā labiekārtojuma atjaunošanu.</t>
  </si>
  <si>
    <t>Reģionālais mobilitātes punkts. Rīgas iela 91 un Pasta iela 9</t>
  </si>
  <si>
    <t>80050013806, 80050013805</t>
  </si>
  <si>
    <t>Mobilitāte</t>
  </si>
  <si>
    <t>Autostāvvietu, elektrouzlādes vietu, velosipēdu novietņu izveidi. Gājēju un velosipēdistu infrastruktūra.</t>
  </si>
  <si>
    <t>Reģiona mobilitātes punkta izveide,kas ietver teritorijas labiekārtojumu ar autostāvvietu, elektrouzlādes vietu, velosipēdu novietņu izveidi, gājēju un velo infrastruktūru.</t>
  </si>
  <si>
    <t>Gājēju un velosipēdu ietve un labiekārtojums Ķeguma prospektā no Parka ielas līdz Tilta ielai</t>
  </si>
  <si>
    <t>Ielas asfaltēšana, gājēju un velosipēdu apvienotā ceļa izbūve, lietišķo atpūtas vietu izbūve, apgaismojuma izbūve</t>
  </si>
  <si>
    <t>Novada zīmes izvietošana uz autoceļa P89 (Ķekava - Skaistkalne)</t>
  </si>
  <si>
    <t>Transporta infrastuktūra</t>
  </si>
  <si>
    <t>Novada zīmju izvietošana iebraucot no Skaistkalnes uz P89</t>
  </si>
  <si>
    <t>Novada norādes izvietošana</t>
  </si>
  <si>
    <t>Gājēju pāreja uz Rīgas ielas (transporta mierināšanas pasākumi) pie Dzirnavu un Rīgas ielas krustojuma (pie zemes gabala Kļavu ielā 1)</t>
  </si>
  <si>
    <t>Transporta infrastruktūra</t>
  </si>
  <si>
    <t>Gājēju pārejas izbūve pie Dzirnavu ielas sabiedriskā transporta pieturas. Nepieciešama saskaņošana ar VAS "Latvijas valsts ceļi"</t>
  </si>
  <si>
    <t>Doles Tautas nams. Informatīva norāde, Rīgas iela 26</t>
  </si>
  <si>
    <t>Norādes, zīmes uz Doles Tautas namu. Informācija norādes par Ķekavas kultūras namu</t>
  </si>
  <si>
    <t>Informatīvu norāžu izvietošana</t>
  </si>
  <si>
    <t>Odukalnu ielas izbūve</t>
  </si>
  <si>
    <t>Projektēšana.</t>
  </si>
  <si>
    <t>Transporta infrastuktūra( Gājēju infrasturktūra),  Lietišķās atpūtas vietas</t>
  </si>
  <si>
    <t xml:space="preserve">Oduklana ielas izbūve ar gājēju un velo infrastruktūru. Lietišķās atpūtas vieta </t>
  </si>
  <si>
    <t xml:space="preserve">
80700081337</t>
  </si>
  <si>
    <t>Pašvaldības nozīmes koplietošanas ūdensnotekas 413241:P:1  tīrīšana posmā no Ķekavas kultūras nama līdz putnu fabrikai</t>
  </si>
  <si>
    <t xml:space="preserve">Pašvaldības nozīmes koplietošanas ūdensnotekas 413241:P:1  tīrīšana posmā no  .  Ķekavas kultūras nama līdz putnu fabrikai. </t>
  </si>
  <si>
    <t>Esošās teritorijas sakārtošana</t>
  </si>
  <si>
    <t>km</t>
  </si>
  <si>
    <t>Naudītes ielas lietišķā infrastruktūra</t>
  </si>
  <si>
    <t>Projektēšana 2023.gadā</t>
  </si>
  <si>
    <t xml:space="preserve">Apgaismojuma ierīkošana, gājēju ietves izbūve. Lietišķās atpūtas vietas (S tips). </t>
  </si>
  <si>
    <t xml:space="preserve">Apstādījumu izveide gar  A7 (Rīga-Bauska-Lietuvas robeža) veloceļu.  </t>
  </si>
  <si>
    <t>Apstādījumu atjaunošana gar izbūvēto veloceļu posmā , kur izcirtsas egles veloceļa būvniecības laikā</t>
  </si>
  <si>
    <t>Apstādījumu papildināšana ar krūmu grupām (10-15 stādi)</t>
  </si>
  <si>
    <t>Laivošanas maršruts pa Ķekavas upi</t>
  </si>
  <si>
    <t>Aktīvās atpūtas teritorija</t>
  </si>
  <si>
    <t>Laivošanas maršruta izveide. Tīrīšana un uzturēšana</t>
  </si>
  <si>
    <t>Atpūtas vieta pie ūdens "Murdiņi", Dārznieku iela 13, Ķekava</t>
  </si>
  <si>
    <t xml:space="preserve">Laivu nolaišanas vietas izbūve. SUP vietas izbūve, Sporta laukuma izbūve </t>
  </si>
  <si>
    <t>Vides objekts - Ķekavas pilsētas zīme pie Odukalna ūdenstorņa, "Odiņš", Odukalns,</t>
  </si>
  <si>
    <t>Vides objekta/zīmes - Ķekava - uzstādīšana</t>
  </si>
  <si>
    <t>Pilsētas zīmes- vides objekta izbūve</t>
  </si>
  <si>
    <t>Vides objekta izbūve</t>
  </si>
  <si>
    <t xml:space="preserve">Gājēju ietve Ziemeļu ielā posmā no A5 (Jaunsils) līdz putnu fabrikai.  Gājēju ceļš un veloceļš.  </t>
  </si>
  <si>
    <t xml:space="preserve">Gājēju ceļš un veloceļa izbūve Ziemeļu ielā posmā no A5 (Jaunsils) līdz putnu fabrikai Jaunsilam.  </t>
  </si>
  <si>
    <t>K45</t>
  </si>
  <si>
    <t>Stāvlaukums un gājēju ietve (Dārznieku iela 3A un Dārznieku iela 3B</t>
  </si>
  <si>
    <t xml:space="preserve">
80700082362, 
80700082593</t>
  </si>
  <si>
    <t>Nepieciešams stāvlaukums  un tilts gājējiem, lai uzlabout piekļuvi Grilparkam  apmeklētājiem baznīcai, tirgum.</t>
  </si>
  <si>
    <t xml:space="preserve"> Laivotāju piekļuve, piebraukšana. </t>
  </si>
  <si>
    <t>Gājēju ietve Vanadziņu  un Gaismas ielās</t>
  </si>
  <si>
    <t xml:space="preserve">Gar “Līgas pirti”  nākotnē izveidot par gājēju ietvi/ceļu, jo jau šobrīd tas ir iedzīvotāju vidū populārs pastaigu maršrut </t>
  </si>
  <si>
    <t>B17</t>
  </si>
  <si>
    <t>Rīgas ielas labiekārtošana, ietves pārbūve, veloceļa izbūve</t>
  </si>
  <si>
    <t xml:space="preserve">
80070021435</t>
  </si>
  <si>
    <t>Rīgas ielas no Rīgas iela 20 līdz Skolas ielai labiekārtošana. Gājēju un velo ceļa turpinājums. Lietišķās atpūtas vietu izvietošana (S tips)</t>
  </si>
  <si>
    <t>Rīgas ielas labiekārtošana, ietves pārūve, veloceļa izbūve</t>
  </si>
  <si>
    <t>B18</t>
  </si>
  <si>
    <r>
      <t xml:space="preserve">Meža ielas pārbūve. </t>
    </r>
    <r>
      <rPr>
        <sz val="10"/>
        <color rgb="FFFF0000"/>
        <rFont val="Myriad Pro"/>
        <charset val="186"/>
      </rPr>
      <t xml:space="preserve"> </t>
    </r>
  </si>
  <si>
    <t>Transporta infrastruktūra. Grāvja tīrīšana</t>
  </si>
  <si>
    <t>Meža ielas gar grāvi pārbūve posmā no Silāju ielas līdz Titurgas ezeram</t>
  </si>
  <si>
    <t xml:space="preserve">Grāvja tīrīšana posmā līdz Titurgas ezeram </t>
  </si>
  <si>
    <t>Grāvja tīrīšana</t>
  </si>
  <si>
    <t>Grāvja tīrīšana posmā Silāju ielas līdz Titurgas ezeram</t>
  </si>
  <si>
    <t>Esošās teritorijas sakārtošana -Grāvja tīrīšana</t>
  </si>
  <si>
    <t>Zālītes ielas pārbūve</t>
  </si>
  <si>
    <t>Esošā granrts seguma uzlabošana</t>
  </si>
  <si>
    <t xml:space="preserve">Titurgas ielas gājēju ietve </t>
  </si>
  <si>
    <t xml:space="preserve">
80070010611</t>
  </si>
  <si>
    <t>Gājēju un velo infrastruktūras segums līdz Titurgas ezeram pa Titurgas ielu</t>
  </si>
  <si>
    <t>Transporta infrastruktūra - kājāmgājēju un velosipedistu infrastruktūras pilnveidošana.</t>
  </si>
  <si>
    <t>Titurgas ezera taka</t>
  </si>
  <si>
    <t xml:space="preserve">
80070021311</t>
  </si>
  <si>
    <t xml:space="preserve">Dabas taka ap ezeru. </t>
  </si>
  <si>
    <t>Gājēju taka gar Titurgas ezeru</t>
  </si>
  <si>
    <t>Atpūtas vieta pie ūdens pie Titurgas ezera  Ezera ielā</t>
  </si>
  <si>
    <t>Laivu nolaišanas vietas izbūve un SUP vietas izbūve Titurgas ezera atpūtas vietā pie ūdens</t>
  </si>
  <si>
    <t>Baložu pilsētas mobilitātes punkta izveide (Purva iela 2/4)</t>
  </si>
  <si>
    <t>vietā jāprecizē</t>
  </si>
  <si>
    <t>Pilsētas mobilitātes punkta izveide</t>
  </si>
  <si>
    <t>Mūkalna parks</t>
  </si>
  <si>
    <t xml:space="preserve">Dabas un apstādījumu teritorija (Parks, Skvērs, Mežaparks)    </t>
  </si>
  <si>
    <t>Laivu piestātne autoceļa V2 (Valdlauči - Rāmava) galā</t>
  </si>
  <si>
    <t>Pašvaldība/ Valsts</t>
  </si>
  <si>
    <t>Laivu nolaišanas vietas izbūve kadastra 80700020636 galā. Valsts vietējais autoceļš V2 noslēgumā.</t>
  </si>
  <si>
    <t>Laivu nolaišanas vieta Daugavā Ievu ielas galā</t>
  </si>
  <si>
    <t>Mikromobilitātes punkts Dzērumos (vieta jāprecizē)</t>
  </si>
  <si>
    <t xml:space="preserve">Mikromobilitātes punkta izveide,kas ietver velosipēdu, taksometru, koplietošanas transportlīdzekļu pakalpojumu. </t>
  </si>
  <si>
    <t>Mikromobilitātes punkta izveide</t>
  </si>
  <si>
    <t>Kopienas centrs, rotaļu laukums Aviators 71, 80700181736</t>
  </si>
  <si>
    <t>Pašvaldība/Valsts</t>
  </si>
  <si>
    <t xml:space="preserve">Aktīvās atpūtas teritorija </t>
  </si>
  <si>
    <t>Rotaļu laukuma izveide.</t>
  </si>
  <si>
    <t>Bērnu rotaļu laukuma izveide (M)</t>
  </si>
  <si>
    <t>Bērnu rotaļu laukums M</t>
  </si>
  <si>
    <t xml:space="preserve">Laivošanas maršruts pa Misas upi no A7 līdz Plakanciemam  </t>
  </si>
  <si>
    <t>Laivošanas maršruta izveide</t>
  </si>
  <si>
    <t>Atpūtas vieta pie Misas upes</t>
  </si>
  <si>
    <t>Atpūtas vieta pie ūdens</t>
  </si>
  <si>
    <t>Labiekārtotas atpūtas vietas pie ūdens izveide. Krasta sakopšana. Labiekārtojuma elemetnu izbūve (soliņi, atkritumu urnas, velosipēdu statīvi)</t>
  </si>
  <si>
    <t>Mikromobilitātes punkts Daugmalē (vieta jāprecizē), stāvlaukums pie pieturas?</t>
  </si>
  <si>
    <t xml:space="preserve">Laivošanas maršruts pa Daugavu apkārt Nāves salai  </t>
  </si>
  <si>
    <t>Veloceļš Dzintari - Bēģļu ceļš</t>
  </si>
  <si>
    <t>Nepieciešamība savienot Daugmales apkaimes infrastruktūru un nodrošināt drošu iedzīvotāju pārvietošanos pa reģionālās nozīmes autoceļu</t>
  </si>
  <si>
    <t>Potenciālās gājēju takas gar Daugavu Ķekava - Bērzmente pagarināšana līdz Daugmalei, atpūtas vietai pie ūdens pretī Nāvessalai (Ķīķerītis)</t>
  </si>
  <si>
    <t>Nepieciešams izveidot aktīvās atpūtas infrastruktūru gar Daugavu, kas veicinātu iedzīvotāju veselību un tūrisma attīstību. Veidot risinājumu saistībā ar RailBaltic izveidi</t>
  </si>
  <si>
    <t xml:space="preserve">Potenciālas atpūtas vietas pie pludmales "Pie Bēgļu ceļa" izveide (kad. nr. 80560020435) </t>
  </si>
  <si>
    <t>Ķikutu atpūtas vietas pie ūdens  ierīkošana un uzturēšana</t>
  </si>
  <si>
    <t>Potenciālas atpūtas vietas  "Dolomīta dīķi" izveide (kad.nr.80560020332)</t>
  </si>
  <si>
    <t>Dabas un apstādījumu teritorija (Skvērs, Parks, Mežaparks), Aktīvās atpūtas teritorija (Stadions, sporta laukumi), Atpūtas vieta pie ūdens (kad.nr.80560020583)</t>
  </si>
  <si>
    <t>Alternatīva atpūtas vieta pie ūdens ar labas kvalitātes ūdeni, draudzīgākas peldēšanas iespējas bērniem.</t>
  </si>
  <si>
    <t>L tipa Bērnu rotaļu laukums pie Daugmales Multifunkcionālā centra (kad.nr 80560020583)</t>
  </si>
  <si>
    <t xml:space="preserve">Nepieciešams moderns bērnu rotaļu laukums, ar kura palīdzību aizsākt aktīvās atpūtas parka veidošanu pie Daugmales Multifunkcionālā centra. </t>
  </si>
  <si>
    <t>Bērnu sportisko aktivitāšu laukums (piemēram Pumptrack)  pie Daugmales multifunkcionālā centra (kad.Nr. 80560020583)</t>
  </si>
  <si>
    <t>Jauniešu sportisko aktivitāšu laukuma izveide</t>
  </si>
  <si>
    <t>Aktīvās atpūtas parka izveide pie Daugmales multifunkcionālā centra (kad.nr 80560020583)</t>
  </si>
  <si>
    <t xml:space="preserve">Izveidot parku, kurā iespējams gan estētiski, gan aktīvi atpūsties. </t>
  </si>
  <si>
    <t>Daugmales pamatskolas sporta laukums (kad.nr.80560020269)</t>
  </si>
  <si>
    <t xml:space="preserve"> Daugmales sporta laukuma izbūve. Disciplīnas - skriešanas celiņš, vieglatlētikas disciplīnas elementi.</t>
  </si>
  <si>
    <t>Sabiedriskā transporta pieturas abos virzienos "Dzintari" uz autoceļa P85 (Rīgas HES - Jaunjelgava)</t>
  </si>
  <si>
    <t>Sabiedriskā transporta pieturas abos virzienos "Bramberģe"  uz autoceļa P85 (Rīgas HES - Jaunjelgava)</t>
  </si>
  <si>
    <t>Sabiedriskā transporta pieturas abos virzienos "Birzītes" uz autoceļa P85 (Rīgas HES - Jaunjelgava)</t>
  </si>
  <si>
    <t>Sabiedriskā transporta pietura "Skola" Rīgas virziens uz autoceļa P85 (Rīgas HES - Jaunjelgava)</t>
  </si>
  <si>
    <t>M tipa pietura Rīgas virzienā ir izveidota</t>
  </si>
  <si>
    <t>Sabiedriskā transporta pietura "Skola" Kalniņu virziens uz autoceļa P85 (Rīgas HES - Jaunjelgava)</t>
  </si>
  <si>
    <t xml:space="preserve">S tipa pieturvieta </t>
  </si>
  <si>
    <t>Sabiedriskā transporta pietura (S)</t>
  </si>
  <si>
    <t>Gājēju ietves izbūve - Pikstu ceļš</t>
  </si>
  <si>
    <t>Infrastruktūras attīstība - augsta gājēju intensitāte visās sezonās, jo iedzīvotāji šo izmanto kā garāku pastaigu ceļu.</t>
  </si>
  <si>
    <t>Gājēju ietves izbūve - Kompleksa  ceļš</t>
  </si>
  <si>
    <t>Atpūtas vietas izveide (pie Daugmales dīķa) Cibuļos (kad. nr. 80560020271, zemes gabalas pie Raģu ceļa)</t>
  </si>
  <si>
    <t>Sabiedriskā transporta pietura "Kalniņi" pie P89</t>
  </si>
  <si>
    <t>Veikt pieturas pārbūvi, veidojot kā M tipa sabiedriskā transporta pieturu.</t>
  </si>
  <si>
    <t xml:space="preserve">Mellupi/Plakanciems </t>
  </si>
  <si>
    <t>Mikromobilitātes punkts Mellupos/Plakanciemā</t>
  </si>
  <si>
    <t>Rotaļu laukuma izveide Mellupos zemes gabalā pie autoceļa V7 (Baloži - Plakanciems - Iecava)</t>
  </si>
  <si>
    <t xml:space="preserve">Rotaļu laukuma izbūve pašvaldības īpašumā </t>
  </si>
  <si>
    <t>Rotaļu laukums (M)</t>
  </si>
  <si>
    <t>Kopienas centra un rotaļu laukuma izveide Plakanciemā (kad. nr.80700160021 vai 80700140226)</t>
  </si>
  <si>
    <t>80700160021 vai 80700140226</t>
  </si>
  <si>
    <t>Laivu nolaišanas vieta ūdenī abpus ceļam.</t>
  </si>
  <si>
    <t>Ielas apgaismojuma izveide no Dzēruma centra līdz A7 autoceļam</t>
  </si>
  <si>
    <t>Ielas pgaismojuma ierīkošana</t>
  </si>
  <si>
    <t>Ielas apgaismojuma ierīkošana</t>
  </si>
  <si>
    <t>J1</t>
  </si>
  <si>
    <t>Rotaļu laukums adrese Baltā iela 27</t>
  </si>
  <si>
    <t>Rotaļu laukuma pilnveidošana</t>
  </si>
  <si>
    <t>Rotaļu laukuma pilnveidošana un papildināšnaa ar elementiem</t>
  </si>
  <si>
    <t>Mikromobilitātes punkts Odukalnā</t>
  </si>
  <si>
    <t>Vimbrukrogs</t>
  </si>
  <si>
    <t>Mikromobilitātes punkts  Vimbukrogā</t>
  </si>
  <si>
    <t>Reģionālais mobilitātes punkts Ķekavā Gaismas ielā 21 un/vai Gaismas ielā 20</t>
  </si>
  <si>
    <t>80700081231, 80700082642</t>
  </si>
  <si>
    <t xml:space="preserve">Seguma ierīkošana sporta spēlēm </t>
  </si>
  <si>
    <t xml:space="preserve">Precizēt projektēšanas laikā </t>
  </si>
  <si>
    <t xml:space="preserve">Seguma (asfalts vai speciāls segums) ierīkošana , lai nodoršinātu iespēju nodarboties ar florbolu, skrituļot vai braukt ar riteņiem bērniem </t>
  </si>
  <si>
    <t xml:space="preserve">Segumu ieklāšana zems rotaļu zonas </t>
  </si>
  <si>
    <t xml:space="preserve">Liela mēroga galda spēļu izvietošana 3 vietās novadā </t>
  </si>
  <si>
    <t xml:space="preserve">Izvietot liela mēroga galda spēles kā galda teniss, šahs. Piemērots izvietošanai nelielos skvēros vai L un XL tipa rotaļu laukumos. </t>
  </si>
  <si>
    <t>Izvietot galda spēles</t>
  </si>
  <si>
    <t>Bērnu un rotaļu laukums S</t>
  </si>
  <si>
    <t>Mērv.</t>
  </si>
  <si>
    <t>Mērvienības izmaksas EUR</t>
  </si>
  <si>
    <t xml:space="preserve">Apstādījumu ierīkošana </t>
  </si>
  <si>
    <t>uz m2</t>
  </si>
  <si>
    <t>Apgaismojuma izveide</t>
  </si>
  <si>
    <t>Sabiedriskā transporta galapunkts</t>
  </si>
  <si>
    <r>
      <rPr>
        <sz val="12"/>
        <color rgb="FF000000"/>
        <rFont val="Myriad Pro"/>
      </rPr>
      <t xml:space="preserve">Bērnu un rotaļu laukums </t>
    </r>
    <r>
      <rPr>
        <b/>
        <sz val="12"/>
        <color rgb="FF000000"/>
        <rFont val="Myriad Pro"/>
      </rPr>
      <t>S</t>
    </r>
  </si>
  <si>
    <r>
      <t xml:space="preserve">Bērnu rotaļu laukums </t>
    </r>
    <r>
      <rPr>
        <b/>
        <sz val="12"/>
        <rFont val="Myriad Pro"/>
        <family val="2"/>
      </rPr>
      <t>M</t>
    </r>
  </si>
  <si>
    <r>
      <t>Bērnu rotaļu un sporta laukums</t>
    </r>
    <r>
      <rPr>
        <b/>
        <sz val="12"/>
        <rFont val="Myriad Pro"/>
        <family val="2"/>
      </rPr>
      <t xml:space="preserve"> L</t>
    </r>
  </si>
  <si>
    <r>
      <t xml:space="preserve">Aktīvās atpūtas labiekārtojums </t>
    </r>
    <r>
      <rPr>
        <b/>
        <sz val="12"/>
        <rFont val="Myriad Pro"/>
        <family val="2"/>
      </rPr>
      <t xml:space="preserve">XL </t>
    </r>
  </si>
  <si>
    <t>Vingrošanas iekārtas, āra trenažieri</t>
  </si>
  <si>
    <t>Meža pastaigu taka (dabiskās zemsedzes seguma) ar marķējumu, atpūtas vietas</t>
  </si>
  <si>
    <t>Pilsētas robežzīme - vides objekts</t>
  </si>
  <si>
    <t>Reģionālā mobilitātes punkta izveide (Ķekava)</t>
  </si>
  <si>
    <t>Pilsētas mobilitātes punkti</t>
  </si>
  <si>
    <t>Meliroācijas grāvja tīrīšana</t>
  </si>
  <si>
    <t>Koka laipas izbūve (1,6 m plata)</t>
  </si>
  <si>
    <t>tek. m</t>
  </si>
  <si>
    <t>Stāvlaukuma izbūve (bruģēts laukums, konstrukcija, apzīmējumi)</t>
  </si>
  <si>
    <t>Grants seguma atjaunošana (vecā seguma demontāža, minerālmateriālu seguma apakškārtas un virskārtas izbūve)</t>
  </si>
  <si>
    <t>Daudzums</t>
  </si>
  <si>
    <t>Materiāls</t>
  </si>
  <si>
    <t>Darbs</t>
  </si>
  <si>
    <t>Apjoma kopējās izmaksas EUR</t>
  </si>
  <si>
    <r>
      <t xml:space="preserve">Lietišķās atpūtas vieta </t>
    </r>
    <r>
      <rPr>
        <b/>
        <sz val="12"/>
        <rFont val="Myriad Pro"/>
        <family val="2"/>
      </rPr>
      <t xml:space="preserve">S </t>
    </r>
    <r>
      <rPr>
        <sz val="12"/>
        <rFont val="Myriad Pro"/>
        <family val="2"/>
      </rPr>
      <t>(bruģis 5m², sols, atkritumu urna, apgaismojums) + uzstādīšana</t>
    </r>
  </si>
  <si>
    <t>Bruģa segums + konstrukcijas materiāli</t>
  </si>
  <si>
    <t>m²</t>
  </si>
  <si>
    <t>Sols</t>
  </si>
  <si>
    <t>Atkritumu urna</t>
  </si>
  <si>
    <t>Apgaismojuma komplekts (gaismeklis + stabs)</t>
  </si>
  <si>
    <r>
      <t xml:space="preserve">Lietišķās atpūtas vieta </t>
    </r>
    <r>
      <rPr>
        <b/>
        <sz val="12"/>
        <rFont val="Myriad Pro"/>
        <family val="2"/>
      </rPr>
      <t>M</t>
    </r>
    <r>
      <rPr>
        <sz val="12"/>
        <rFont val="Myriad Pro"/>
        <family val="2"/>
      </rPr>
      <t xml:space="preserve"> (bruģis 12m², sols, atkritumu urna, apgaismojums, apstādījumi - dzīvžogs) + uzstādīšana</t>
    </r>
  </si>
  <si>
    <t>Bruģa segums</t>
  </si>
  <si>
    <t>Apstādījumi</t>
  </si>
  <si>
    <r>
      <t>Lietišķās atpūtas vieta</t>
    </r>
    <r>
      <rPr>
        <b/>
        <sz val="12"/>
        <rFont val="Myriad Pro"/>
        <family val="2"/>
      </rPr>
      <t xml:space="preserve"> L </t>
    </r>
    <r>
      <rPr>
        <sz val="12"/>
        <rFont val="Myriad Pro"/>
        <family val="2"/>
      </rPr>
      <t>(bruģis 30m², soli - 2gb, atkritumu urna, apgaismojums, apstādījumi - koks, dzīvžogs, velosipēdu novietnes, infromācijas stends) + uzstādīšana</t>
    </r>
  </si>
  <si>
    <t xml:space="preserve">Apstādījumi </t>
  </si>
  <si>
    <t>Koks (dižstāds + stādīšana)</t>
  </si>
  <si>
    <t>Velo statīvs</t>
  </si>
  <si>
    <t>Informācijas stends</t>
  </si>
  <si>
    <t>Koku stādījumu pilnveidošana (dižstādi) + stādīšana</t>
  </si>
  <si>
    <r>
      <rPr>
        <sz val="12"/>
        <color rgb="FF000000"/>
        <rFont val="Myriad Pro"/>
      </rPr>
      <t xml:space="preserve">Transporta infrastruktūra - kājāmgājēju infrastruktūras pilnveidošana </t>
    </r>
    <r>
      <rPr>
        <b/>
        <sz val="12"/>
        <color rgb="FF000000"/>
        <rFont val="Myriad Pro"/>
      </rPr>
      <t>(Gājēju ceļu bruģēšana)</t>
    </r>
  </si>
  <si>
    <r>
      <t xml:space="preserve">Transporta infrastruktūra - kājāmgājēju un velosipedistu infrastruktūras pilnveidošana </t>
    </r>
    <r>
      <rPr>
        <b/>
        <sz val="12"/>
        <rFont val="Myriad Pro"/>
        <family val="2"/>
      </rPr>
      <t>(Asfalta seguma ieklāšana)</t>
    </r>
  </si>
  <si>
    <t>Ietves apmales ierīkošna</t>
  </si>
  <si>
    <t>Norāžu izvietošana (ceļa zīmes)</t>
  </si>
  <si>
    <t>uz m²</t>
  </si>
  <si>
    <t>Atpūtas vieta pie ūdens, labiekārtošana ( Atpūtas  vieta L)</t>
  </si>
  <si>
    <t>Apgaismojuma izveide (Apgaismojuma laterna+uzstādīšana) bez elektroapgādes</t>
  </si>
  <si>
    <r>
      <t xml:space="preserve">Sabiedriskā transporta pietura </t>
    </r>
    <r>
      <rPr>
        <b/>
        <sz val="12"/>
        <rFont val="Myriad Pro"/>
        <family val="2"/>
      </rPr>
      <t>S</t>
    </r>
    <r>
      <rPr>
        <sz val="12"/>
        <rFont val="Myriad Pro"/>
        <family val="2"/>
      </rPr>
      <t xml:space="preserve"> - platforma (30m2), sols, atkritumu urna, apgaismojums</t>
    </r>
  </si>
  <si>
    <t xml:space="preserve">Pieturas zīmes uzstādīšana </t>
  </si>
  <si>
    <r>
      <t xml:space="preserve">Sabiedriskā transporta pietura </t>
    </r>
    <r>
      <rPr>
        <b/>
        <sz val="12"/>
        <rFont val="Myriad Pro"/>
        <family val="2"/>
      </rPr>
      <t>M</t>
    </r>
    <r>
      <rPr>
        <sz val="12"/>
        <rFont val="Myriad Pro"/>
        <family val="2"/>
      </rPr>
      <t xml:space="preserve"> - platforma  (30m2), nojume, sols, atkitumu urna, apgaismojums</t>
    </r>
  </si>
  <si>
    <t>Nojume</t>
  </si>
  <si>
    <r>
      <t xml:space="preserve">Sabiedriskā transporta galapunkts </t>
    </r>
    <r>
      <rPr>
        <b/>
        <sz val="12"/>
        <rFont val="Myriad Pro"/>
        <family val="2"/>
      </rPr>
      <t>L</t>
    </r>
    <r>
      <rPr>
        <sz val="12"/>
        <rFont val="Myriad Pro"/>
        <family val="2"/>
      </rPr>
      <t xml:space="preserve"> - platforma  (30m2), nojume, soli - 2 gb, atkritumu urna, apgaismojums, velosipēdu novietnes, informācijas stends</t>
    </r>
  </si>
  <si>
    <r>
      <t xml:space="preserve">Bērnu un rotaļu laukums </t>
    </r>
    <r>
      <rPr>
        <b/>
        <sz val="12"/>
        <rFont val="Myriad Pro"/>
        <family val="2"/>
      </rPr>
      <t xml:space="preserve">S </t>
    </r>
    <r>
      <rPr>
        <sz val="12"/>
        <rFont val="Myriad Pro"/>
        <family val="2"/>
      </rPr>
      <t>- smilšu kaste, atsperu šūpole, līdzsvara dēlis</t>
    </r>
  </si>
  <si>
    <t>Smilšu kaste</t>
  </si>
  <si>
    <t>Atsperu šūpoles</t>
  </si>
  <si>
    <t>velo statīvs</t>
  </si>
  <si>
    <t>Līdzsvara dēlis</t>
  </si>
  <si>
    <r>
      <t xml:space="preserve">Bērnu rotaļu laukums </t>
    </r>
    <r>
      <rPr>
        <b/>
        <sz val="12"/>
        <rFont val="Myriad Pro"/>
        <family val="2"/>
      </rPr>
      <t xml:space="preserve">M </t>
    </r>
    <r>
      <rPr>
        <sz val="12"/>
        <rFont val="Myriad Pro"/>
        <family val="2"/>
      </rPr>
      <t>-  smilšu kaste, atsperu šūpoles,  šūpoles 2gb, rāpšanās siena, slidkalniņš, nojume (namiņš), līdzsvara šūpoles.</t>
    </r>
  </si>
  <si>
    <t>Šūpoles (2 sēdvirsmas)</t>
  </si>
  <si>
    <t>Rāpšanās siena</t>
  </si>
  <si>
    <t>Slidkalniņš, nojume (namiņš)</t>
  </si>
  <si>
    <t>Līdzsvara šūpoles</t>
  </si>
  <si>
    <r>
      <t>Bērnu rotaļu un sporta laukums</t>
    </r>
    <r>
      <rPr>
        <b/>
        <sz val="12"/>
        <rFont val="Myriad Pro"/>
        <family val="2"/>
      </rPr>
      <t xml:space="preserve"> L </t>
    </r>
    <r>
      <rPr>
        <sz val="12"/>
        <rFont val="Myriad Pro"/>
        <family val="2"/>
      </rPr>
      <t>- smilšu kaste, atsperu šūpoles, šūpoles 4gb, rotaļu pilsētiņa, rotējoši elementi, strītbola laukums, galda teniss 1 gb.</t>
    </r>
  </si>
  <si>
    <t>Šūpoles (4 sēdvirsmas)</t>
  </si>
  <si>
    <t>Rotaļu pilsētiņa</t>
  </si>
  <si>
    <t>Rotējošs rotaļu elements</t>
  </si>
  <si>
    <t>Strītbola laukums</t>
  </si>
  <si>
    <t xml:space="preserve">Galda teniss </t>
  </si>
  <si>
    <r>
      <t xml:space="preserve">Aktīvās atpūtas labiekārtojums </t>
    </r>
    <r>
      <rPr>
        <b/>
        <sz val="12"/>
        <rFont val="Myriad Pro"/>
        <family val="2"/>
      </rPr>
      <t xml:space="preserve">XL </t>
    </r>
    <r>
      <rPr>
        <sz val="12"/>
        <rFont val="Myriad Pro"/>
        <family val="2"/>
      </rPr>
      <t>- ( S+M+L) Ielu vingrošanas iekārtas, āra trenažieri.</t>
    </r>
  </si>
  <si>
    <t xml:space="preserve">gab. </t>
  </si>
  <si>
    <t>Segumu ieklāšana zem rotaļu zonas  (Liets gumijas segums)</t>
  </si>
  <si>
    <r>
      <t>būvdarbu apjoms, m</t>
    </r>
    <r>
      <rPr>
        <vertAlign val="superscript"/>
        <sz val="12"/>
        <rFont val="Myriad Pro"/>
        <family val="2"/>
      </rPr>
      <t>3</t>
    </r>
  </si>
  <si>
    <t>Laivu maršruta izveide</t>
  </si>
  <si>
    <t>Meliorācijas grāvja tīrīšana un sakopšana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</si>
</sst>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font>
      <sz val="11"/>
      <color theme="1"/>
      <name val="Calibri"/>
      <family val="2"/>
      <charset val="186"/>
      <scheme val="minor"/>
    </font>
    <font>
      <sz val="8"/>
      <name val="Calibri"/>
      <family val="2"/>
      <charset val="186"/>
    </font>
    <font>
      <sz val="12"/>
      <name val="Myriad Pro"/>
      <family val="2"/>
    </font>
    <font>
      <sz val="11"/>
      <color rgb="FF9C0006"/>
      <name val="Calibri"/>
      <family val="2"/>
      <charset val="186"/>
      <scheme val="minor"/>
    </font>
    <font>
      <sz val="11"/>
      <color rgb="FF006100"/>
      <name val="Calibri"/>
      <family val="2"/>
      <charset val="186"/>
      <scheme val="minor"/>
    </font>
    <font>
      <sz val="11"/>
      <color rgb="FF9C6500"/>
      <name val="Calibri"/>
      <family val="2"/>
      <charset val="186"/>
      <scheme val="minor"/>
    </font>
    <font>
      <sz val="12"/>
      <color rgb="FFFF0000"/>
      <name val="Myriad Pro"/>
      <family val="2"/>
    </font>
    <font>
      <b/>
      <sz val="12"/>
      <name val="Myriad Pro"/>
      <family val="2"/>
    </font>
    <font>
      <sz val="12"/>
      <color theme="0" tint="-0.14999847407452621"/>
      <name val="Myriad Pro"/>
      <family val="2"/>
    </font>
    <font>
      <sz val="11"/>
      <color theme="0" tint="-0.14999847407452621"/>
      <name val="Calibri"/>
      <family val="2"/>
      <charset val="186"/>
      <scheme val="minor"/>
    </font>
    <font>
      <sz val="12"/>
      <color theme="1"/>
      <name val="Myriad Pro"/>
      <family val="2"/>
    </font>
    <font>
      <vertAlign val="superscript"/>
      <sz val="12"/>
      <name val="Myriad Pro"/>
      <family val="2"/>
    </font>
    <font>
      <sz val="11"/>
      <color rgb="FF3F3F76"/>
      <name val="Calibri"/>
      <family val="2"/>
      <charset val="186"/>
      <scheme val="minor"/>
    </font>
    <font>
      <sz val="8"/>
      <name val="Calibri"/>
      <family val="2"/>
      <charset val="186"/>
      <scheme val="minor"/>
    </font>
    <font>
      <b/>
      <sz val="11"/>
      <color theme="1"/>
      <name val="Calibri"/>
      <family val="2"/>
      <charset val="186"/>
      <scheme val="minor"/>
    </font>
    <font>
      <sz val="11"/>
      <name val="Calibri"/>
      <family val="2"/>
      <charset val="186"/>
      <scheme val="minor"/>
    </font>
    <font>
      <b/>
      <sz val="10"/>
      <name val="Myriad Pro"/>
      <charset val="186"/>
    </font>
    <font>
      <b/>
      <sz val="11"/>
      <name val="Calibri"/>
      <family val="2"/>
      <charset val="186"/>
      <scheme val="minor"/>
    </font>
    <font>
      <b/>
      <sz val="16"/>
      <color theme="1"/>
      <name val="Calibri"/>
      <family val="2"/>
      <charset val="186"/>
      <scheme val="minor"/>
    </font>
    <font>
      <b/>
      <sz val="10"/>
      <name val="Myriad Pro"/>
      <family val="2"/>
      <charset val="186"/>
    </font>
    <font>
      <sz val="10"/>
      <name val="Myriad Pro"/>
      <family val="2"/>
      <charset val="186"/>
    </font>
    <font>
      <b/>
      <sz val="9"/>
      <name val="Myriad Pro"/>
      <family val="2"/>
      <charset val="186"/>
    </font>
    <font>
      <sz val="10"/>
      <color rgb="FFFF0000"/>
      <name val="Myriad Pro"/>
      <family val="2"/>
      <charset val="186"/>
    </font>
    <font>
      <sz val="10"/>
      <color rgb="FF000000"/>
      <name val="Myriad Pro"/>
    </font>
    <font>
      <sz val="10"/>
      <color rgb="FF000000"/>
      <name val="Myriad Pro"/>
      <family val="2"/>
      <charset val="186"/>
    </font>
    <font>
      <sz val="11"/>
      <color rgb="FF000000"/>
      <name val="Calibri"/>
      <family val="2"/>
      <charset val="186"/>
      <scheme val="minor"/>
    </font>
    <font>
      <sz val="10"/>
      <color rgb="FFFF0000"/>
      <name val="Myriad Pro"/>
      <charset val="186"/>
    </font>
    <font>
      <sz val="10"/>
      <color theme="1"/>
      <name val="Myriad Pro"/>
      <family val="2"/>
      <charset val="186"/>
    </font>
    <font>
      <sz val="12"/>
      <color theme="1"/>
      <name val="Calibri"/>
      <family val="2"/>
      <charset val="186"/>
      <scheme val="minor"/>
    </font>
    <font>
      <sz val="10"/>
      <color theme="1"/>
      <name val="Myriad Pro"/>
      <family val="2"/>
    </font>
    <font>
      <sz val="10"/>
      <name val="Myriad Pro"/>
      <family val="2"/>
    </font>
    <font>
      <sz val="12"/>
      <color rgb="FF000000"/>
      <name val="Myriad Pro"/>
      <family val="2"/>
    </font>
    <font>
      <sz val="10"/>
      <color rgb="FF000000"/>
      <name val="Myriad Pro"/>
      <charset val="186"/>
    </font>
    <font>
      <sz val="10"/>
      <color rgb="FFFF0000"/>
      <name val="Myriad Pro"/>
    </font>
    <font>
      <sz val="10"/>
      <name val="Myriad Pro"/>
    </font>
    <font>
      <sz val="10"/>
      <color theme="1"/>
      <name val="Myriad Pro"/>
    </font>
    <font>
      <sz val="10"/>
      <color theme="1"/>
      <name val="Myriad Pro"/>
      <charset val="186"/>
    </font>
    <font>
      <sz val="11"/>
      <color theme="1"/>
      <name val="Times New Roman"/>
      <family val="1"/>
    </font>
    <font>
      <b/>
      <sz val="11"/>
      <color theme="1"/>
      <name val="Times New Roman"/>
      <family val="1"/>
    </font>
    <font>
      <b/>
      <sz val="11"/>
      <name val="Times New Roman"/>
      <family val="1"/>
    </font>
    <font>
      <sz val="10"/>
      <color rgb="FF000000"/>
      <name val="Times New Roman"/>
      <family val="1"/>
    </font>
    <font>
      <sz val="10"/>
      <color theme="1"/>
      <name val="Times New Roman"/>
      <family val="1"/>
    </font>
    <font>
      <b/>
      <sz val="16"/>
      <color theme="1"/>
      <name val="Times New Roman"/>
      <family val="1"/>
    </font>
    <font>
      <b/>
      <sz val="10"/>
      <color rgb="FF000000"/>
      <name val="Times New Roman"/>
      <family val="1"/>
    </font>
    <font>
      <sz val="10"/>
      <name val="Myriad Pro"/>
      <charset val="186"/>
    </font>
    <font>
      <sz val="16"/>
      <color theme="1"/>
      <name val="Times New Roman"/>
      <family val="1"/>
    </font>
    <font>
      <sz val="16"/>
      <color theme="1"/>
      <name val="Calibri"/>
      <family val="2"/>
      <charset val="186"/>
      <scheme val="minor"/>
    </font>
    <font>
      <sz val="11"/>
      <color theme="1"/>
      <name val="Times New Roman"/>
    </font>
    <font>
      <sz val="10"/>
      <color rgb="FF000000"/>
      <name val="Times New Roman"/>
    </font>
    <font>
      <sz val="12"/>
      <color rgb="FF000000"/>
      <name val="Myriad Pro"/>
    </font>
    <font>
      <b/>
      <sz val="12"/>
      <color rgb="FF000000"/>
      <name val="Myriad Pro"/>
    </font>
    <font>
      <b/>
      <sz val="14"/>
      <color theme="1"/>
      <name val="Calibri"/>
      <family val="2"/>
      <charset val="186"/>
      <scheme val="minor"/>
    </font>
    <font>
      <sz val="11"/>
      <color rgb="FFC9C400"/>
      <name val="Calibri"/>
      <family val="2"/>
      <charset val="186"/>
      <scheme val="minor"/>
    </font>
  </fonts>
  <fills count="23">
    <fill>
      <patternFill patternType="none"/>
    </fill>
    <fill>
      <patternFill patternType="gray125"/>
    </fill>
    <fill>
      <patternFill patternType="solid">
        <fgColor rgb="FFFFC7CE"/>
      </patternFill>
    </fill>
    <fill>
      <patternFill patternType="solid">
        <fgColor rgb="FFC6EFCE"/>
      </patternFill>
    </fill>
    <fill>
      <patternFill patternType="solid">
        <fgColor rgb="FFFFEB9C"/>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C99"/>
      </patternFill>
    </fill>
    <fill>
      <patternFill patternType="solid">
        <fgColor theme="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EEECE1"/>
        <bgColor indexed="64"/>
      </patternFill>
    </fill>
    <fill>
      <patternFill patternType="solid">
        <fgColor rgb="FFFFFFFF"/>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bgColor indexed="64"/>
      </patternFill>
    </fill>
    <fill>
      <patternFill patternType="solid">
        <fgColor theme="3" tint="0.79998168889431442"/>
        <bgColor indexed="64"/>
      </patternFill>
    </fill>
    <fill>
      <patternFill patternType="solid">
        <fgColor rgb="FFFF0000"/>
        <bgColor indexed="64"/>
      </patternFill>
    </fill>
    <fill>
      <patternFill patternType="solid">
        <fgColor theme="6"/>
        <bgColor indexed="64"/>
      </patternFill>
    </fill>
    <fill>
      <patternFill patternType="solid">
        <fgColor theme="2" tint="-0.249977111117893"/>
        <bgColor indexed="64"/>
      </patternFill>
    </fill>
    <fill>
      <patternFill patternType="solid">
        <fgColor theme="9" tint="0.399975585192419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theme="4" tint="0.39997558519241921"/>
      </top>
      <bottom/>
      <diagonal/>
    </border>
  </borders>
  <cellStyleXfs count="5">
    <xf numFmtId="0" fontId="0" fillId="0" borderId="0"/>
    <xf numFmtId="0" fontId="4" fillId="3" borderId="0" applyNumberFormat="0" applyBorder="0" applyAlignment="0" applyProtection="0"/>
    <xf numFmtId="0" fontId="5" fillId="4" borderId="0" applyNumberFormat="0" applyBorder="0" applyAlignment="0" applyProtection="0"/>
    <xf numFmtId="0" fontId="3" fillId="2" borderId="0" applyNumberFormat="0" applyBorder="0" applyAlignment="0" applyProtection="0"/>
    <xf numFmtId="0" fontId="12" fillId="8" borderId="17" applyNumberFormat="0" applyAlignment="0" applyProtection="0"/>
  </cellStyleXfs>
  <cellXfs count="372">
    <xf numFmtId="0" fontId="0" fillId="0" borderId="0" xfId="0"/>
    <xf numFmtId="0" fontId="2" fillId="0" borderId="1" xfId="0" applyFont="1" applyBorder="1" applyAlignment="1">
      <alignment horizontal="left" vertical="center" wrapText="1"/>
    </xf>
    <xf numFmtId="0" fontId="2" fillId="0" borderId="1" xfId="0" applyFont="1" applyBorder="1"/>
    <xf numFmtId="0" fontId="0" fillId="0" borderId="1" xfId="0" applyBorder="1"/>
    <xf numFmtId="0" fontId="2" fillId="0" borderId="1" xfId="0" applyFont="1" applyBorder="1" applyAlignment="1">
      <alignment horizontal="center" vertical="center"/>
    </xf>
    <xf numFmtId="0" fontId="2" fillId="0" borderId="1" xfId="0" applyFont="1" applyBorder="1" applyAlignment="1">
      <alignment vertical="center"/>
    </xf>
    <xf numFmtId="0" fontId="2" fillId="6" borderId="1" xfId="0" applyFont="1" applyFill="1" applyBorder="1" applyAlignment="1">
      <alignment vertical="center"/>
    </xf>
    <xf numFmtId="0" fontId="2" fillId="6" borderId="1" xfId="0" applyFont="1" applyFill="1" applyBorder="1" applyAlignment="1">
      <alignment horizontal="center" vertical="center"/>
    </xf>
    <xf numFmtId="0" fontId="6" fillId="0" borderId="1" xfId="0" applyFont="1" applyBorder="1" applyAlignment="1">
      <alignment horizontal="center" vertical="center"/>
    </xf>
    <xf numFmtId="0" fontId="2" fillId="0" borderId="1" xfId="0" applyFont="1" applyBorder="1" applyAlignment="1">
      <alignment horizontal="center" vertical="center" wrapText="1"/>
    </xf>
    <xf numFmtId="0" fontId="2" fillId="6" borderId="1" xfId="0" applyFont="1" applyFill="1" applyBorder="1" applyAlignment="1">
      <alignment horizontal="center"/>
    </xf>
    <xf numFmtId="0" fontId="2" fillId="6" borderId="1" xfId="0" applyFont="1" applyFill="1" applyBorder="1" applyAlignment="1">
      <alignment horizontal="left" vertical="center" wrapText="1"/>
    </xf>
    <xf numFmtId="0" fontId="2" fillId="0" borderId="1" xfId="0" applyFont="1" applyBorder="1" applyAlignment="1">
      <alignment horizontal="center"/>
    </xf>
    <xf numFmtId="0" fontId="0" fillId="0" borderId="3" xfId="0" applyBorder="1"/>
    <xf numFmtId="0" fontId="2" fillId="0" borderId="4" xfId="0" applyFont="1" applyBorder="1"/>
    <xf numFmtId="0" fontId="2" fillId="0" borderId="5" xfId="0" applyFont="1" applyBorder="1"/>
    <xf numFmtId="0" fontId="2" fillId="6" borderId="6" xfId="0" applyFont="1" applyFill="1" applyBorder="1" applyAlignment="1">
      <alignment vertical="center" wrapText="1"/>
    </xf>
    <xf numFmtId="0" fontId="2" fillId="6" borderId="7"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2" fillId="6" borderId="9" xfId="0" applyFont="1" applyFill="1" applyBorder="1" applyAlignment="1">
      <alignment vertical="center" wrapText="1"/>
    </xf>
    <xf numFmtId="0" fontId="2" fillId="6" borderId="10" xfId="0" applyFont="1" applyFill="1" applyBorder="1" applyAlignment="1">
      <alignment horizontal="center" vertical="center"/>
    </xf>
    <xf numFmtId="0" fontId="2" fillId="6" borderId="11" xfId="0" applyFont="1" applyFill="1" applyBorder="1" applyAlignment="1">
      <alignment vertical="center" wrapText="1"/>
    </xf>
    <xf numFmtId="0" fontId="2" fillId="6" borderId="12" xfId="0" applyFont="1" applyFill="1" applyBorder="1" applyAlignment="1">
      <alignment horizontal="center" vertical="center"/>
    </xf>
    <xf numFmtId="0" fontId="2" fillId="6" borderId="13" xfId="0" applyFont="1" applyFill="1" applyBorder="1" applyAlignment="1">
      <alignment horizontal="center" vertical="center"/>
    </xf>
    <xf numFmtId="0" fontId="8" fillId="0" borderId="14" xfId="0" applyFont="1" applyBorder="1" applyAlignment="1">
      <alignment vertical="center"/>
    </xf>
    <xf numFmtId="0" fontId="8" fillId="0" borderId="14" xfId="0" applyFont="1" applyBorder="1" applyAlignment="1">
      <alignment horizontal="center" vertical="center"/>
    </xf>
    <xf numFmtId="0" fontId="8" fillId="0" borderId="14" xfId="0" applyFont="1" applyBorder="1"/>
    <xf numFmtId="0" fontId="9" fillId="0" borderId="0" xfId="0" applyFont="1"/>
    <xf numFmtId="0" fontId="2" fillId="6" borderId="1" xfId="0" applyFont="1" applyFill="1" applyBorder="1" applyAlignment="1">
      <alignment vertical="center" wrapText="1"/>
    </xf>
    <xf numFmtId="0" fontId="8"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horizontal="center"/>
    </xf>
    <xf numFmtId="0" fontId="2" fillId="7" borderId="1" xfId="0" applyFont="1" applyFill="1" applyBorder="1" applyAlignment="1">
      <alignment vertical="center"/>
    </xf>
    <xf numFmtId="0" fontId="10" fillId="7" borderId="1" xfId="0" applyFont="1" applyFill="1" applyBorder="1" applyAlignment="1">
      <alignment horizontal="center" vertical="center"/>
    </xf>
    <xf numFmtId="0" fontId="2" fillId="7" borderId="1" xfId="0" applyFont="1" applyFill="1" applyBorder="1" applyAlignment="1">
      <alignment horizont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xf>
    <xf numFmtId="0" fontId="8" fillId="0" borderId="2" xfId="0" applyFont="1" applyBorder="1" applyAlignment="1">
      <alignment horizontal="center"/>
    </xf>
    <xf numFmtId="0" fontId="7" fillId="6" borderId="7" xfId="0" applyFont="1" applyFill="1" applyBorder="1" applyAlignment="1">
      <alignment horizontal="center"/>
    </xf>
    <xf numFmtId="0" fontId="7" fillId="6" borderId="8" xfId="0" applyFont="1" applyFill="1" applyBorder="1" applyAlignment="1">
      <alignment horizontal="center"/>
    </xf>
    <xf numFmtId="0" fontId="2" fillId="6" borderId="11" xfId="0" applyFont="1" applyFill="1" applyBorder="1" applyAlignment="1">
      <alignment vertical="center"/>
    </xf>
    <xf numFmtId="0" fontId="2" fillId="6" borderId="13" xfId="0" applyFont="1" applyFill="1" applyBorder="1" applyAlignment="1">
      <alignment horizontal="center"/>
    </xf>
    <xf numFmtId="0" fontId="2" fillId="6" borderId="15" xfId="0" applyFont="1" applyFill="1" applyBorder="1" applyAlignment="1">
      <alignment vertical="center" wrapText="1"/>
    </xf>
    <xf numFmtId="0" fontId="2" fillId="6" borderId="2" xfId="0" applyFont="1" applyFill="1" applyBorder="1" applyAlignment="1">
      <alignment horizontal="center" vertical="center"/>
    </xf>
    <xf numFmtId="0" fontId="2" fillId="6" borderId="16" xfId="0" applyFont="1" applyFill="1" applyBorder="1" applyAlignment="1">
      <alignment horizontal="center" vertical="center"/>
    </xf>
    <xf numFmtId="0" fontId="2" fillId="6" borderId="10" xfId="0" applyFont="1" applyFill="1" applyBorder="1" applyAlignment="1">
      <alignment horizontal="center"/>
    </xf>
    <xf numFmtId="0" fontId="2" fillId="6" borderId="16" xfId="0" applyFont="1" applyFill="1" applyBorder="1" applyAlignment="1">
      <alignment horizontal="center"/>
    </xf>
    <xf numFmtId="0" fontId="2" fillId="6" borderId="14" xfId="0" applyFont="1" applyFill="1" applyBorder="1" applyAlignment="1">
      <alignment vertical="center" wrapText="1"/>
    </xf>
    <xf numFmtId="0" fontId="2" fillId="6" borderId="14" xfId="0" applyFont="1" applyFill="1" applyBorder="1" applyAlignment="1">
      <alignment horizontal="center" vertical="center"/>
    </xf>
    <xf numFmtId="0" fontId="2" fillId="6" borderId="14" xfId="0" applyFont="1" applyFill="1" applyBorder="1" applyAlignment="1">
      <alignment horizontal="center" vertical="center" wrapText="1"/>
    </xf>
    <xf numFmtId="0" fontId="6" fillId="6" borderId="1" xfId="0" applyFont="1" applyFill="1" applyBorder="1" applyAlignment="1">
      <alignment vertical="center"/>
    </xf>
    <xf numFmtId="0" fontId="6" fillId="6" borderId="1" xfId="0" applyFont="1" applyFill="1" applyBorder="1" applyAlignment="1">
      <alignment horizontal="center" vertical="center"/>
    </xf>
    <xf numFmtId="0" fontId="2" fillId="5" borderId="18" xfId="0" applyFont="1" applyFill="1" applyBorder="1" applyAlignment="1">
      <alignment vertical="center" wrapText="1"/>
    </xf>
    <xf numFmtId="0" fontId="0" fillId="5" borderId="0" xfId="0" applyFill="1"/>
    <xf numFmtId="0" fontId="2" fillId="5" borderId="1" xfId="0" applyFont="1" applyFill="1" applyBorder="1" applyAlignment="1">
      <alignment horizontal="center"/>
    </xf>
    <xf numFmtId="0" fontId="0" fillId="0" borderId="0" xfId="0" pivotButton="1"/>
    <xf numFmtId="0" fontId="0" fillId="0" borderId="0" xfId="0" applyAlignment="1">
      <alignment horizontal="left"/>
    </xf>
    <xf numFmtId="0" fontId="0" fillId="0" borderId="0" xfId="0" applyAlignment="1">
      <alignment wrapText="1"/>
    </xf>
    <xf numFmtId="164" fontId="0" fillId="0" borderId="0" xfId="0" applyNumberFormat="1"/>
    <xf numFmtId="2" fontId="0" fillId="0" borderId="0" xfId="0" applyNumberFormat="1"/>
    <xf numFmtId="0" fontId="14" fillId="0" borderId="0" xfId="0" applyFont="1"/>
    <xf numFmtId="164" fontId="14" fillId="0" borderId="0" xfId="0" applyNumberFormat="1" applyFont="1" applyAlignment="1">
      <alignment wrapText="1"/>
    </xf>
    <xf numFmtId="0" fontId="15" fillId="0" borderId="1" xfId="1" applyFont="1" applyFill="1" applyBorder="1" applyAlignment="1">
      <alignment horizontal="center" vertical="center"/>
    </xf>
    <xf numFmtId="2" fontId="17" fillId="9" borderId="1" xfId="4" applyNumberFormat="1" applyFont="1" applyFill="1" applyBorder="1" applyAlignment="1">
      <alignment horizontal="center" vertical="center" wrapText="1"/>
    </xf>
    <xf numFmtId="0" fontId="17" fillId="9" borderId="1" xfId="4" applyFont="1" applyFill="1" applyBorder="1" applyAlignment="1">
      <alignment horizontal="center" vertical="center" wrapText="1"/>
    </xf>
    <xf numFmtId="2" fontId="15" fillId="9" borderId="1" xfId="4" applyNumberFormat="1" applyFont="1" applyFill="1" applyBorder="1"/>
    <xf numFmtId="0" fontId="15" fillId="9" borderId="1" xfId="4" applyFont="1" applyFill="1" applyBorder="1"/>
    <xf numFmtId="0" fontId="18" fillId="0" borderId="0" xfId="0" applyFont="1"/>
    <xf numFmtId="0" fontId="19" fillId="0" borderId="0" xfId="0" applyFont="1" applyAlignment="1">
      <alignment wrapText="1"/>
    </xf>
    <xf numFmtId="0" fontId="19" fillId="0" borderId="0" xfId="0" applyFont="1" applyAlignment="1">
      <alignment vertical="center" wrapText="1"/>
    </xf>
    <xf numFmtId="0" fontId="19" fillId="0" borderId="0" xfId="0" applyFont="1" applyAlignment="1">
      <alignment horizontal="center" vertical="center" wrapText="1"/>
    </xf>
    <xf numFmtId="49" fontId="19" fillId="0" borderId="0" xfId="0" applyNumberFormat="1" applyFont="1" applyAlignment="1">
      <alignment horizontal="center" wrapText="1"/>
    </xf>
    <xf numFmtId="3" fontId="0" fillId="0" borderId="0" xfId="0" applyNumberFormat="1"/>
    <xf numFmtId="0" fontId="6" fillId="0" borderId="1" xfId="0" applyFont="1" applyBorder="1" applyAlignment="1">
      <alignment vertical="center"/>
    </xf>
    <xf numFmtId="0" fontId="6" fillId="0" borderId="1" xfId="0" applyFont="1" applyBorder="1" applyAlignment="1">
      <alignment horizontal="center"/>
    </xf>
    <xf numFmtId="0" fontId="19" fillId="0" borderId="0" xfId="0" applyFont="1"/>
    <xf numFmtId="0" fontId="19" fillId="0" borderId="0" xfId="0" applyFont="1" applyAlignment="1">
      <alignment vertical="center"/>
    </xf>
    <xf numFmtId="0" fontId="19" fillId="0" borderId="0" xfId="0" applyFont="1" applyAlignment="1">
      <alignment horizontal="left" vertical="center" wrapText="1"/>
    </xf>
    <xf numFmtId="0" fontId="17" fillId="0" borderId="0" xfId="4" applyFont="1" applyFill="1" applyBorder="1"/>
    <xf numFmtId="2" fontId="17" fillId="0" borderId="0" xfId="4" applyNumberFormat="1" applyFont="1" applyFill="1" applyBorder="1"/>
    <xf numFmtId="0" fontId="15" fillId="0" borderId="0" xfId="4" applyFont="1" applyFill="1" applyBorder="1"/>
    <xf numFmtId="2" fontId="15" fillId="0" borderId="0" xfId="4" applyNumberFormat="1" applyFont="1" applyFill="1" applyBorder="1"/>
    <xf numFmtId="0" fontId="20" fillId="0" borderId="0" xfId="0" applyFont="1"/>
    <xf numFmtId="0" fontId="20" fillId="0" borderId="0" xfId="0" applyFont="1" applyAlignment="1">
      <alignment vertical="center"/>
    </xf>
    <xf numFmtId="0" fontId="19" fillId="0" borderId="1" xfId="0" applyFont="1" applyBorder="1" applyAlignment="1">
      <alignment horizontal="center" vertical="center" wrapText="1"/>
    </xf>
    <xf numFmtId="1"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0" fontId="21" fillId="9"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0" xfId="0" applyFont="1" applyAlignment="1">
      <alignment horizontal="center" vertical="center" wrapText="1"/>
    </xf>
    <xf numFmtId="0" fontId="20" fillId="0" borderId="1" xfId="0" applyFont="1" applyBorder="1"/>
    <xf numFmtId="0" fontId="20" fillId="0" borderId="1" xfId="0" applyFont="1" applyBorder="1" applyAlignment="1">
      <alignment vertical="center"/>
    </xf>
    <xf numFmtId="0" fontId="20" fillId="0" borderId="1" xfId="0" applyFont="1" applyBorder="1" applyAlignment="1">
      <alignment horizontal="left" vertical="center" wrapText="1"/>
    </xf>
    <xf numFmtId="1" fontId="20" fillId="0" borderId="1" xfId="0" applyNumberFormat="1" applyFont="1" applyBorder="1" applyAlignment="1">
      <alignment horizontal="center" vertical="center" wrapText="1"/>
    </xf>
    <xf numFmtId="0" fontId="20" fillId="9" borderId="1" xfId="0" applyFont="1" applyFill="1" applyBorder="1"/>
    <xf numFmtId="0" fontId="20" fillId="0" borderId="1" xfId="0" applyFont="1" applyBorder="1" applyAlignment="1">
      <alignment vertical="center" wrapText="1"/>
    </xf>
    <xf numFmtId="0" fontId="20" fillId="0" borderId="1" xfId="0" applyFont="1" applyBorder="1" applyAlignment="1">
      <alignment wrapText="1"/>
    </xf>
    <xf numFmtId="0" fontId="20"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wrapText="1"/>
    </xf>
    <xf numFmtId="49" fontId="20" fillId="0" borderId="0" xfId="0" applyNumberFormat="1" applyFont="1" applyAlignment="1">
      <alignment horizontal="center" wrapText="1"/>
    </xf>
    <xf numFmtId="2" fontId="19" fillId="0" borderId="0" xfId="0" applyNumberFormat="1" applyFont="1"/>
    <xf numFmtId="2" fontId="21" fillId="9" borderId="1" xfId="0" applyNumberFormat="1" applyFont="1" applyFill="1" applyBorder="1" applyAlignment="1">
      <alignment horizontal="center" vertical="center" wrapText="1"/>
    </xf>
    <xf numFmtId="2" fontId="20" fillId="9" borderId="1" xfId="0" applyNumberFormat="1" applyFont="1" applyFill="1" applyBorder="1"/>
    <xf numFmtId="2" fontId="20" fillId="0" borderId="0" xfId="0" applyNumberFormat="1" applyFont="1"/>
    <xf numFmtId="1" fontId="20" fillId="0" borderId="0" xfId="0" applyNumberFormat="1" applyFont="1"/>
    <xf numFmtId="1" fontId="19" fillId="0" borderId="0" xfId="0" applyNumberFormat="1" applyFont="1"/>
    <xf numFmtId="1" fontId="21" fillId="9" borderId="1" xfId="0" applyNumberFormat="1" applyFont="1" applyFill="1" applyBorder="1" applyAlignment="1">
      <alignment horizontal="center" vertical="center" wrapText="1"/>
    </xf>
    <xf numFmtId="1" fontId="20" fillId="9" borderId="1" xfId="0" applyNumberFormat="1" applyFont="1" applyFill="1" applyBorder="1"/>
    <xf numFmtId="0" fontId="14" fillId="0" borderId="0" xfId="0" applyFont="1" applyAlignment="1">
      <alignment wrapText="1"/>
    </xf>
    <xf numFmtId="0" fontId="20" fillId="0" borderId="2" xfId="0" applyFont="1" applyBorder="1" applyAlignment="1">
      <alignment vertical="center" wrapText="1"/>
    </xf>
    <xf numFmtId="1" fontId="20" fillId="0" borderId="2" xfId="0" applyNumberFormat="1" applyFont="1" applyBorder="1" applyAlignment="1">
      <alignment horizontal="center" vertical="center" wrapText="1"/>
    </xf>
    <xf numFmtId="0" fontId="20" fillId="0" borderId="2" xfId="0" applyFont="1" applyBorder="1"/>
    <xf numFmtId="0" fontId="23" fillId="0" borderId="1" xfId="0" applyFont="1" applyBorder="1" applyAlignment="1">
      <alignment vertical="center" wrapText="1"/>
    </xf>
    <xf numFmtId="0" fontId="17" fillId="0" borderId="1" xfId="4" applyFont="1" applyFill="1" applyBorder="1" applyAlignment="1">
      <alignment horizontal="center" vertical="center" wrapText="1"/>
    </xf>
    <xf numFmtId="0" fontId="15" fillId="0" borderId="1" xfId="4" applyFont="1" applyFill="1" applyBorder="1"/>
    <xf numFmtId="0" fontId="24" fillId="0" borderId="1" xfId="0" applyFont="1" applyBorder="1" applyAlignment="1">
      <alignment vertical="center" wrapText="1"/>
    </xf>
    <xf numFmtId="0" fontId="24" fillId="0" borderId="2" xfId="0" applyFont="1" applyBorder="1" applyAlignment="1">
      <alignment vertical="center" wrapText="1"/>
    </xf>
    <xf numFmtId="1" fontId="24" fillId="0" borderId="2" xfId="0" applyNumberFormat="1" applyFont="1" applyBorder="1" applyAlignment="1">
      <alignment horizontal="center" vertical="center" wrapText="1"/>
    </xf>
    <xf numFmtId="0" fontId="24" fillId="0" borderId="1" xfId="0" applyFont="1" applyBorder="1" applyAlignment="1">
      <alignment horizontal="left" vertical="center" wrapText="1"/>
    </xf>
    <xf numFmtId="0" fontId="25" fillId="0" borderId="1" xfId="1" applyFont="1" applyFill="1" applyBorder="1" applyAlignment="1">
      <alignment horizontal="center" vertical="center"/>
    </xf>
    <xf numFmtId="0" fontId="24" fillId="0" borderId="2" xfId="0" applyFont="1" applyBorder="1"/>
    <xf numFmtId="0" fontId="24" fillId="0" borderId="1" xfId="0" applyFont="1" applyBorder="1" applyAlignment="1">
      <alignment horizontal="center" vertical="center" wrapText="1"/>
    </xf>
    <xf numFmtId="0" fontId="20" fillId="0" borderId="2" xfId="0" applyFont="1" applyBorder="1" applyAlignment="1">
      <alignment horizontal="left" vertical="center" wrapText="1"/>
    </xf>
    <xf numFmtId="0" fontId="20" fillId="11" borderId="1" xfId="0" applyFont="1" applyFill="1" applyBorder="1"/>
    <xf numFmtId="0" fontId="20" fillId="11" borderId="1" xfId="0" applyFont="1" applyFill="1" applyBorder="1" applyAlignment="1">
      <alignment vertical="center"/>
    </xf>
    <xf numFmtId="0" fontId="20" fillId="11" borderId="1" xfId="0" applyFont="1" applyFill="1" applyBorder="1" applyAlignment="1">
      <alignment horizontal="center" vertical="center" wrapText="1"/>
    </xf>
    <xf numFmtId="0" fontId="20" fillId="11" borderId="1" xfId="0" applyFont="1" applyFill="1" applyBorder="1" applyAlignment="1">
      <alignment horizontal="left" vertical="center" wrapText="1"/>
    </xf>
    <xf numFmtId="1" fontId="20" fillId="11" borderId="1" xfId="0" applyNumberFormat="1" applyFont="1" applyFill="1" applyBorder="1" applyAlignment="1">
      <alignment horizontal="center" vertical="center" wrapText="1"/>
    </xf>
    <xf numFmtId="0" fontId="15" fillId="11" borderId="1" xfId="1" applyFont="1" applyFill="1" applyBorder="1" applyAlignment="1">
      <alignment horizontal="center" vertical="center"/>
    </xf>
    <xf numFmtId="0" fontId="15" fillId="11" borderId="1" xfId="4" applyFont="1" applyFill="1" applyBorder="1"/>
    <xf numFmtId="2" fontId="15" fillId="11" borderId="1" xfId="4" applyNumberFormat="1" applyFont="1" applyFill="1" applyBorder="1"/>
    <xf numFmtId="1" fontId="20" fillId="11" borderId="1" xfId="0" applyNumberFormat="1" applyFont="1" applyFill="1" applyBorder="1"/>
    <xf numFmtId="2" fontId="20" fillId="11" borderId="1" xfId="0" applyNumberFormat="1" applyFont="1" applyFill="1" applyBorder="1"/>
    <xf numFmtId="0" fontId="20" fillId="11" borderId="0" xfId="0" applyFont="1" applyFill="1"/>
    <xf numFmtId="0" fontId="20" fillId="11" borderId="1" xfId="0" applyFont="1" applyFill="1" applyBorder="1" applyAlignment="1">
      <alignment vertical="center" wrapText="1"/>
    </xf>
    <xf numFmtId="0" fontId="15" fillId="11" borderId="1" xfId="2" applyFont="1" applyFill="1" applyBorder="1" applyAlignment="1">
      <alignment horizontal="center" vertical="center"/>
    </xf>
    <xf numFmtId="0" fontId="15" fillId="11" borderId="1" xfId="3" applyFont="1" applyFill="1" applyBorder="1" applyAlignment="1">
      <alignment horizontal="center" vertical="center"/>
    </xf>
    <xf numFmtId="0" fontId="22" fillId="11" borderId="1" xfId="0" applyFont="1" applyFill="1" applyBorder="1" applyAlignment="1">
      <alignment horizontal="left" vertical="center" wrapText="1"/>
    </xf>
    <xf numFmtId="0" fontId="20" fillId="11" borderId="0" xfId="0" applyFont="1" applyFill="1" applyAlignment="1">
      <alignment wrapText="1"/>
    </xf>
    <xf numFmtId="0" fontId="20" fillId="11" borderId="1" xfId="0" quotePrefix="1" applyFont="1" applyFill="1" applyBorder="1" applyAlignment="1">
      <alignment horizontal="center" vertical="center" wrapText="1"/>
    </xf>
    <xf numFmtId="0" fontId="15" fillId="11" borderId="1" xfId="4" applyFont="1" applyFill="1" applyBorder="1" applyAlignment="1">
      <alignment vertical="center"/>
    </xf>
    <xf numFmtId="2" fontId="15" fillId="11" borderId="1" xfId="4" applyNumberFormat="1" applyFont="1" applyFill="1" applyBorder="1" applyAlignment="1">
      <alignment vertical="center"/>
    </xf>
    <xf numFmtId="0" fontId="20" fillId="11" borderId="0" xfId="0" applyFont="1" applyFill="1" applyAlignment="1">
      <alignment vertical="center"/>
    </xf>
    <xf numFmtId="0" fontId="20" fillId="11" borderId="1" xfId="0" quotePrefix="1" applyFont="1" applyFill="1" applyBorder="1" applyAlignment="1">
      <alignment horizontal="left" vertical="center" wrapText="1"/>
    </xf>
    <xf numFmtId="0" fontId="20" fillId="11" borderId="1" xfId="0" applyFont="1" applyFill="1" applyBorder="1" applyAlignment="1">
      <alignment horizontal="center" vertical="center"/>
    </xf>
    <xf numFmtId="0" fontId="15" fillId="11" borderId="1" xfId="3" applyFont="1" applyFill="1" applyBorder="1" applyAlignment="1">
      <alignment horizontal="center" vertical="center" wrapText="1"/>
    </xf>
    <xf numFmtId="0" fontId="15" fillId="11" borderId="1" xfId="4" applyFont="1" applyFill="1" applyBorder="1" applyAlignment="1">
      <alignment horizontal="center"/>
    </xf>
    <xf numFmtId="2" fontId="15" fillId="11" borderId="1" xfId="4" applyNumberFormat="1" applyFont="1" applyFill="1" applyBorder="1" applyAlignment="1">
      <alignment horizontal="center"/>
    </xf>
    <xf numFmtId="0" fontId="15" fillId="11" borderId="1" xfId="0" applyFont="1" applyFill="1" applyBorder="1" applyAlignment="1">
      <alignment vertical="center"/>
    </xf>
    <xf numFmtId="0" fontId="20" fillId="11" borderId="1" xfId="0" quotePrefix="1" applyFont="1" applyFill="1" applyBorder="1" applyAlignment="1">
      <alignment vertical="center" wrapText="1"/>
    </xf>
    <xf numFmtId="0" fontId="20" fillId="11" borderId="1" xfId="0" applyFont="1" applyFill="1" applyBorder="1" applyAlignment="1">
      <alignment wrapText="1"/>
    </xf>
    <xf numFmtId="0" fontId="22" fillId="11" borderId="0" xfId="0" applyFont="1" applyFill="1"/>
    <xf numFmtId="1" fontId="24" fillId="0" borderId="1" xfId="0" applyNumberFormat="1" applyFont="1" applyBorder="1" applyAlignment="1">
      <alignment horizontal="center" vertical="center" wrapText="1"/>
    </xf>
    <xf numFmtId="0" fontId="27" fillId="11" borderId="1" xfId="0" applyFont="1" applyFill="1" applyBorder="1" applyAlignment="1">
      <alignment horizontal="left" vertical="center" wrapText="1"/>
    </xf>
    <xf numFmtId="0" fontId="2" fillId="6" borderId="21" xfId="0" applyFont="1" applyFill="1" applyBorder="1" applyAlignment="1">
      <alignment horizontal="center" vertical="center"/>
    </xf>
    <xf numFmtId="0" fontId="2" fillId="6" borderId="19" xfId="0" applyFont="1" applyFill="1" applyBorder="1" applyAlignment="1">
      <alignment horizontal="center" vertical="center"/>
    </xf>
    <xf numFmtId="0" fontId="2" fillId="0" borderId="2" xfId="0" applyFont="1" applyBorder="1" applyAlignment="1">
      <alignment horizontal="center"/>
    </xf>
    <xf numFmtId="0" fontId="20" fillId="0" borderId="20" xfId="0" applyFont="1" applyBorder="1" applyAlignment="1">
      <alignment vertical="center"/>
    </xf>
    <xf numFmtId="0" fontId="28" fillId="0" borderId="23" xfId="0" applyFont="1" applyBorder="1" applyAlignment="1">
      <alignment horizontal="center" vertical="center"/>
    </xf>
    <xf numFmtId="0" fontId="29" fillId="0" borderId="0" xfId="0" applyFont="1"/>
    <xf numFmtId="0" fontId="29" fillId="0" borderId="1" xfId="0" applyFont="1" applyBorder="1" applyAlignment="1">
      <alignment wrapText="1"/>
    </xf>
    <xf numFmtId="0" fontId="29" fillId="0" borderId="1" xfId="0" applyFont="1" applyBorder="1" applyAlignment="1">
      <alignment vertical="center" wrapText="1"/>
    </xf>
    <xf numFmtId="0" fontId="30" fillId="0" borderId="1" xfId="0" applyFont="1" applyBorder="1" applyAlignment="1">
      <alignment horizontal="left" vertical="center" wrapText="1"/>
    </xf>
    <xf numFmtId="0" fontId="30" fillId="0" borderId="1" xfId="0" applyFont="1" applyBorder="1" applyAlignment="1">
      <alignment vertical="center" wrapText="1"/>
    </xf>
    <xf numFmtId="0" fontId="15" fillId="0" borderId="1" xfId="3" applyFont="1" applyFill="1" applyBorder="1" applyAlignment="1">
      <alignment horizontal="center" vertical="center" wrapText="1"/>
    </xf>
    <xf numFmtId="0" fontId="30" fillId="0" borderId="1" xfId="0" applyFont="1" applyBorder="1" applyAlignment="1">
      <alignment wrapText="1"/>
    </xf>
    <xf numFmtId="0" fontId="29" fillId="0" borderId="1" xfId="0" applyFont="1" applyBorder="1"/>
    <xf numFmtId="0" fontId="20" fillId="0" borderId="23" xfId="0" applyFont="1" applyBorder="1" applyAlignment="1">
      <alignment vertical="center" wrapText="1"/>
    </xf>
    <xf numFmtId="0" fontId="0" fillId="0" borderId="23" xfId="0" applyBorder="1"/>
    <xf numFmtId="0" fontId="20" fillId="0" borderId="19" xfId="0" applyFont="1" applyBorder="1" applyAlignment="1">
      <alignment vertical="center" wrapText="1"/>
    </xf>
    <xf numFmtId="0" fontId="24" fillId="0" borderId="2" xfId="0" applyFont="1" applyBorder="1" applyAlignment="1">
      <alignment horizontal="left" vertical="center" wrapText="1"/>
    </xf>
    <xf numFmtId="0" fontId="25" fillId="0" borderId="2" xfId="1" applyFont="1" applyFill="1" applyBorder="1" applyAlignment="1">
      <alignment horizontal="center" vertical="center"/>
    </xf>
    <xf numFmtId="0" fontId="20" fillId="0" borderId="14" xfId="0" applyFont="1" applyBorder="1" applyAlignment="1">
      <alignment vertical="center" wrapText="1"/>
    </xf>
    <xf numFmtId="0" fontId="20" fillId="0" borderId="24" xfId="0" applyFont="1" applyBorder="1" applyAlignment="1">
      <alignment horizontal="left" vertical="center" wrapText="1"/>
    </xf>
    <xf numFmtId="0" fontId="24" fillId="0" borderId="2" xfId="0" applyFont="1" applyBorder="1" applyAlignment="1">
      <alignment horizontal="center" vertical="center" wrapText="1"/>
    </xf>
    <xf numFmtId="0" fontId="15" fillId="0" borderId="2" xfId="4" applyFont="1" applyFill="1" applyBorder="1"/>
    <xf numFmtId="0" fontId="20" fillId="0" borderId="14" xfId="0" applyFont="1" applyBorder="1" applyAlignment="1">
      <alignment horizontal="center" vertical="center" wrapText="1"/>
    </xf>
    <xf numFmtId="0" fontId="15" fillId="0" borderId="14" xfId="4" applyFont="1" applyFill="1" applyBorder="1"/>
    <xf numFmtId="0" fontId="0" fillId="0" borderId="24" xfId="0" applyBorder="1"/>
    <xf numFmtId="0" fontId="31" fillId="6" borderId="16" xfId="0" applyFont="1" applyFill="1" applyBorder="1" applyAlignment="1">
      <alignment horizontal="center"/>
    </xf>
    <xf numFmtId="0" fontId="31" fillId="6" borderId="10" xfId="0" applyFont="1" applyFill="1" applyBorder="1" applyAlignment="1">
      <alignment horizontal="center"/>
    </xf>
    <xf numFmtId="0" fontId="31" fillId="6" borderId="22" xfId="0" applyFont="1" applyFill="1" applyBorder="1" applyAlignment="1">
      <alignment horizontal="center"/>
    </xf>
    <xf numFmtId="0" fontId="29" fillId="0" borderId="1" xfId="0" applyFont="1" applyBorder="1" applyAlignment="1">
      <alignment horizontal="center" vertical="center"/>
    </xf>
    <xf numFmtId="2" fontId="15" fillId="12" borderId="1" xfId="4" applyNumberFormat="1" applyFont="1" applyFill="1" applyBorder="1"/>
    <xf numFmtId="0" fontId="15" fillId="12" borderId="1" xfId="4" applyFont="1" applyFill="1" applyBorder="1"/>
    <xf numFmtId="2" fontId="15" fillId="12" borderId="2" xfId="4" applyNumberFormat="1" applyFont="1" applyFill="1" applyBorder="1"/>
    <xf numFmtId="0" fontId="15" fillId="12" borderId="2" xfId="4" applyFont="1" applyFill="1" applyBorder="1"/>
    <xf numFmtId="0" fontId="0" fillId="12" borderId="23" xfId="0" applyFill="1" applyBorder="1"/>
    <xf numFmtId="2" fontId="15" fillId="12" borderId="14" xfId="4" applyNumberFormat="1" applyFont="1" applyFill="1" applyBorder="1"/>
    <xf numFmtId="0" fontId="15" fillId="12" borderId="14" xfId="4" applyFont="1" applyFill="1" applyBorder="1"/>
    <xf numFmtId="0" fontId="29" fillId="12" borderId="1" xfId="0" applyFont="1" applyFill="1" applyBorder="1"/>
    <xf numFmtId="0" fontId="20" fillId="13" borderId="1" xfId="0" applyFont="1" applyFill="1" applyBorder="1" applyAlignment="1">
      <alignment horizontal="left" vertical="center" wrapText="1"/>
    </xf>
    <xf numFmtId="0" fontId="24" fillId="13" borderId="1" xfId="0" applyFont="1" applyFill="1" applyBorder="1" applyAlignment="1">
      <alignment horizontal="left" vertical="center" wrapText="1"/>
    </xf>
    <xf numFmtId="0" fontId="0" fillId="0" borderId="23" xfId="0" applyBorder="1" applyAlignment="1">
      <alignment horizontal="center" vertical="center"/>
    </xf>
    <xf numFmtId="0" fontId="25" fillId="0" borderId="23" xfId="0" applyFont="1" applyBorder="1" applyAlignment="1">
      <alignment horizontal="center"/>
    </xf>
    <xf numFmtId="0" fontId="20" fillId="13" borderId="1" xfId="0" applyFont="1" applyFill="1" applyBorder="1" applyAlignment="1">
      <alignment wrapText="1"/>
    </xf>
    <xf numFmtId="0" fontId="24" fillId="0" borderId="1" xfId="0" applyFont="1" applyBorder="1" applyAlignment="1">
      <alignment vertical="center"/>
    </xf>
    <xf numFmtId="0" fontId="32" fillId="0" borderId="1" xfId="0" applyFont="1" applyBorder="1" applyAlignment="1">
      <alignment vertical="center" wrapText="1"/>
    </xf>
    <xf numFmtId="0" fontId="20" fillId="0" borderId="1" xfId="0" applyFont="1" applyBorder="1" applyAlignment="1">
      <alignment horizontal="center" vertical="center"/>
    </xf>
    <xf numFmtId="1" fontId="29" fillId="0" borderId="1" xfId="0" applyNumberFormat="1" applyFont="1" applyBorder="1" applyAlignment="1">
      <alignment horizontal="center" vertical="center" wrapText="1"/>
    </xf>
    <xf numFmtId="1" fontId="20" fillId="0" borderId="26" xfId="0" applyNumberFormat="1" applyFont="1" applyBorder="1" applyAlignment="1">
      <alignment horizontal="center" vertical="center" wrapText="1"/>
    </xf>
    <xf numFmtId="0" fontId="24" fillId="0" borderId="2" xfId="0" applyFont="1" applyBorder="1" applyAlignment="1">
      <alignment horizontal="center" vertical="center"/>
    </xf>
    <xf numFmtId="0" fontId="20" fillId="0" borderId="0" xfId="0" applyFont="1" applyAlignment="1">
      <alignment horizontal="center" vertical="center"/>
    </xf>
    <xf numFmtId="1" fontId="19" fillId="0" borderId="0" xfId="0" applyNumberFormat="1" applyFont="1" applyAlignment="1">
      <alignment horizontal="center" vertical="center" wrapText="1"/>
    </xf>
    <xf numFmtId="0" fontId="19" fillId="0" borderId="0" xfId="0" applyFont="1" applyAlignment="1">
      <alignment horizontal="center" vertical="center"/>
    </xf>
    <xf numFmtId="0" fontId="20" fillId="0" borderId="2" xfId="0" applyFont="1" applyBorder="1" applyAlignment="1">
      <alignment horizontal="center" vertical="center"/>
    </xf>
    <xf numFmtId="0" fontId="24" fillId="0" borderId="1" xfId="0" applyFont="1" applyBorder="1" applyAlignment="1">
      <alignment horizontal="center" vertical="center"/>
    </xf>
    <xf numFmtId="0" fontId="0" fillId="0" borderId="28" xfId="0" applyBorder="1" applyAlignment="1">
      <alignment horizontal="center" vertical="center"/>
    </xf>
    <xf numFmtId="0" fontId="30" fillId="0" borderId="1" xfId="0" applyFont="1" applyBorder="1" applyAlignment="1">
      <alignment horizontal="center" vertical="center" wrapText="1"/>
    </xf>
    <xf numFmtId="0" fontId="29" fillId="0" borderId="1" xfId="0" applyFont="1" applyBorder="1" applyAlignment="1">
      <alignment horizontal="center" vertical="center" wrapText="1"/>
    </xf>
    <xf numFmtId="1" fontId="20" fillId="0" borderId="0" xfId="0" applyNumberFormat="1" applyFont="1" applyAlignment="1">
      <alignment horizontal="center" vertical="center" wrapText="1"/>
    </xf>
    <xf numFmtId="0" fontId="34" fillId="0" borderId="1" xfId="0" applyFont="1" applyBorder="1" applyAlignment="1">
      <alignment vertical="center" wrapText="1"/>
    </xf>
    <xf numFmtId="0" fontId="23" fillId="0" borderId="2" xfId="0" applyFont="1" applyBorder="1" applyAlignment="1">
      <alignment vertical="center" wrapText="1"/>
    </xf>
    <xf numFmtId="0" fontId="24" fillId="11" borderId="1" xfId="0" applyFont="1" applyFill="1" applyBorder="1" applyAlignment="1">
      <alignment vertical="center" wrapText="1"/>
    </xf>
    <xf numFmtId="1" fontId="24" fillId="11" borderId="1" xfId="0" applyNumberFormat="1" applyFont="1" applyFill="1" applyBorder="1" applyAlignment="1">
      <alignment horizontal="center" vertical="center" wrapText="1"/>
    </xf>
    <xf numFmtId="0" fontId="24" fillId="11" borderId="1" xfId="0" applyFont="1" applyFill="1" applyBorder="1" applyAlignment="1">
      <alignment vertical="center"/>
    </xf>
    <xf numFmtId="0" fontId="15" fillId="5" borderId="1" xfId="4" applyFont="1" applyFill="1" applyBorder="1"/>
    <xf numFmtId="2" fontId="14" fillId="0" borderId="0" xfId="0" applyNumberFormat="1" applyFont="1" applyAlignment="1">
      <alignment wrapText="1"/>
    </xf>
    <xf numFmtId="0" fontId="23" fillId="11" borderId="1" xfId="0" applyFont="1" applyFill="1" applyBorder="1" applyAlignment="1">
      <alignment vertical="center" wrapText="1"/>
    </xf>
    <xf numFmtId="0" fontId="27" fillId="0" borderId="1" xfId="0" applyFont="1" applyBorder="1" applyAlignment="1">
      <alignment vertical="center" wrapText="1"/>
    </xf>
    <xf numFmtId="1" fontId="27" fillId="0" borderId="1" xfId="0" applyNumberFormat="1" applyFont="1" applyBorder="1" applyAlignment="1">
      <alignment horizontal="center" vertical="center" wrapText="1"/>
    </xf>
    <xf numFmtId="0" fontId="35" fillId="0" borderId="1" xfId="0" applyFont="1" applyBorder="1" applyAlignment="1">
      <alignment vertical="center"/>
    </xf>
    <xf numFmtId="0" fontId="35" fillId="0" borderId="1" xfId="0" applyFont="1" applyBorder="1" applyAlignment="1">
      <alignment vertical="center" wrapText="1"/>
    </xf>
    <xf numFmtId="1" fontId="35" fillId="0" borderId="1" xfId="0" applyNumberFormat="1" applyFont="1" applyBorder="1" applyAlignment="1">
      <alignment horizontal="center" vertical="center" wrapText="1"/>
    </xf>
    <xf numFmtId="0" fontId="35" fillId="0" borderId="1" xfId="0" applyFont="1" applyBorder="1" applyAlignment="1">
      <alignment horizontal="left" vertical="center" wrapText="1"/>
    </xf>
    <xf numFmtId="0" fontId="27" fillId="0" borderId="1" xfId="0" applyFont="1" applyBorder="1" applyAlignment="1">
      <alignment vertical="center"/>
    </xf>
    <xf numFmtId="0" fontId="36" fillId="0" borderId="1" xfId="0" applyFont="1" applyBorder="1" applyAlignment="1">
      <alignment vertical="center" wrapText="1"/>
    </xf>
    <xf numFmtId="0" fontId="27" fillId="0" borderId="23" xfId="0" applyFont="1" applyBorder="1" applyAlignment="1">
      <alignment vertical="center"/>
    </xf>
    <xf numFmtId="0" fontId="27" fillId="0" borderId="25" xfId="0" applyFont="1" applyBorder="1" applyAlignment="1">
      <alignment vertical="center" wrapText="1"/>
    </xf>
    <xf numFmtId="0" fontId="27" fillId="0" borderId="24" xfId="0" applyFont="1" applyBorder="1" applyAlignment="1">
      <alignment vertical="center" wrapText="1"/>
    </xf>
    <xf numFmtId="1" fontId="27" fillId="0" borderId="23" xfId="0" applyNumberFormat="1" applyFont="1" applyBorder="1" applyAlignment="1">
      <alignment horizontal="center" vertical="center" wrapText="1"/>
    </xf>
    <xf numFmtId="0" fontId="27" fillId="0" borderId="26" xfId="0" applyFont="1" applyBorder="1" applyAlignment="1">
      <alignment horizontal="center" vertical="center"/>
    </xf>
    <xf numFmtId="0" fontId="27" fillId="0" borderId="1" xfId="0" applyFont="1" applyBorder="1" applyAlignment="1">
      <alignment horizontal="left" vertical="center" wrapText="1"/>
    </xf>
    <xf numFmtId="0" fontId="27" fillId="0" borderId="23" xfId="0" applyFont="1" applyBorder="1" applyAlignment="1">
      <alignment vertical="center" wrapText="1"/>
    </xf>
    <xf numFmtId="0" fontId="27" fillId="0" borderId="24" xfId="0" applyFont="1" applyBorder="1" applyAlignment="1">
      <alignment horizontal="left" vertical="center" wrapText="1"/>
    </xf>
    <xf numFmtId="0" fontId="27" fillId="0" borderId="23" xfId="0" applyFont="1" applyBorder="1" applyAlignment="1">
      <alignment horizontal="left" vertical="center" wrapText="1"/>
    </xf>
    <xf numFmtId="0" fontId="27" fillId="0" borderId="14" xfId="0" applyFont="1" applyBorder="1" applyAlignment="1">
      <alignment vertical="center"/>
    </xf>
    <xf numFmtId="0" fontId="27" fillId="0" borderId="27" xfId="0" applyFont="1" applyBorder="1" applyAlignment="1">
      <alignment horizontal="center" vertical="center"/>
    </xf>
    <xf numFmtId="0" fontId="27" fillId="0" borderId="14" xfId="0" applyFont="1" applyBorder="1" applyAlignment="1">
      <alignment horizontal="left" vertical="center" wrapText="1"/>
    </xf>
    <xf numFmtId="0" fontId="27" fillId="0" borderId="14" xfId="0" applyFont="1" applyBorder="1" applyAlignment="1">
      <alignment vertical="center" wrapText="1"/>
    </xf>
    <xf numFmtId="0" fontId="27" fillId="0" borderId="14" xfId="0" applyFont="1" applyBorder="1"/>
    <xf numFmtId="1" fontId="27" fillId="0" borderId="14"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xf numFmtId="0" fontId="35" fillId="0" borderId="23" xfId="0" applyFont="1" applyBorder="1" applyAlignment="1">
      <alignment vertical="center" wrapText="1"/>
    </xf>
    <xf numFmtId="0" fontId="27" fillId="0" borderId="2" xfId="0" applyFont="1" applyBorder="1" applyAlignment="1">
      <alignment vertical="center" wrapText="1"/>
    </xf>
    <xf numFmtId="1" fontId="27" fillId="0" borderId="2" xfId="0" applyNumberFormat="1" applyFont="1" applyBorder="1" applyAlignment="1">
      <alignment horizontal="center" vertical="center" wrapText="1"/>
    </xf>
    <xf numFmtId="0" fontId="27" fillId="0" borderId="2" xfId="0" applyFont="1" applyBorder="1" applyAlignment="1">
      <alignment horizontal="center" vertical="center"/>
    </xf>
    <xf numFmtId="0" fontId="0" fillId="0" borderId="1" xfId="2" applyFont="1" applyFill="1" applyBorder="1" applyAlignment="1">
      <alignment horizontal="center" vertical="center"/>
    </xf>
    <xf numFmtId="0" fontId="0" fillId="0" borderId="1" xfId="3" applyFont="1" applyFill="1" applyBorder="1" applyAlignment="1">
      <alignment horizontal="center" vertical="center"/>
    </xf>
    <xf numFmtId="0" fontId="0" fillId="0" borderId="1" xfId="1" applyFont="1" applyFill="1" applyBorder="1" applyAlignment="1">
      <alignment horizontal="center" vertical="center"/>
    </xf>
    <xf numFmtId="0" fontId="27" fillId="11" borderId="1" xfId="0" applyFont="1" applyFill="1" applyBorder="1" applyAlignment="1">
      <alignment vertical="center"/>
    </xf>
    <xf numFmtId="0" fontId="27" fillId="11" borderId="1" xfId="0" applyFont="1" applyFill="1" applyBorder="1" applyAlignment="1">
      <alignment horizontal="center" vertical="center" wrapText="1"/>
    </xf>
    <xf numFmtId="0" fontId="27" fillId="11" borderId="1" xfId="0" applyFont="1" applyFill="1" applyBorder="1" applyAlignment="1">
      <alignment vertical="center" wrapText="1"/>
    </xf>
    <xf numFmtId="1" fontId="27" fillId="11" borderId="1" xfId="0" applyNumberFormat="1" applyFont="1" applyFill="1" applyBorder="1" applyAlignment="1">
      <alignment horizontal="center" vertical="center" wrapText="1"/>
    </xf>
    <xf numFmtId="0" fontId="27" fillId="11" borderId="1" xfId="0" applyFont="1" applyFill="1" applyBorder="1"/>
    <xf numFmtId="0" fontId="27" fillId="11" borderId="1" xfId="0" applyFont="1" applyFill="1" applyBorder="1" applyAlignment="1">
      <alignment horizontal="center" vertical="center"/>
    </xf>
    <xf numFmtId="0" fontId="36" fillId="11" borderId="1" xfId="0" applyFont="1" applyFill="1" applyBorder="1" applyAlignment="1">
      <alignment horizontal="left" vertical="center" wrapText="1"/>
    </xf>
    <xf numFmtId="0" fontId="0" fillId="0" borderId="0" xfId="0" applyAlignment="1">
      <alignment horizontal="center"/>
    </xf>
    <xf numFmtId="0" fontId="37" fillId="0" borderId="26" xfId="0" applyFont="1" applyBorder="1" applyAlignment="1">
      <alignment horizontal="left"/>
    </xf>
    <xf numFmtId="0" fontId="37" fillId="0" borderId="1" xfId="0" applyFont="1" applyBorder="1" applyAlignment="1">
      <alignment horizontal="left"/>
    </xf>
    <xf numFmtId="0" fontId="37" fillId="0" borderId="1" xfId="0" applyFont="1" applyBorder="1" applyAlignment="1">
      <alignment wrapText="1"/>
    </xf>
    <xf numFmtId="0" fontId="37" fillId="0" borderId="1" xfId="0" applyFont="1" applyBorder="1" applyAlignment="1">
      <alignment horizontal="center" wrapText="1"/>
    </xf>
    <xf numFmtId="3" fontId="37" fillId="0" borderId="1" xfId="0" applyNumberFormat="1" applyFont="1" applyBorder="1" applyAlignment="1">
      <alignment horizontal="center" wrapText="1"/>
    </xf>
    <xf numFmtId="164" fontId="37" fillId="0" borderId="19" xfId="0" applyNumberFormat="1" applyFont="1" applyBorder="1"/>
    <xf numFmtId="0" fontId="37" fillId="0" borderId="19" xfId="0" applyFont="1" applyBorder="1"/>
    <xf numFmtId="164" fontId="38" fillId="0" borderId="19" xfId="0" applyNumberFormat="1" applyFont="1" applyBorder="1"/>
    <xf numFmtId="164" fontId="39" fillId="0" borderId="19" xfId="0" applyNumberFormat="1" applyFont="1" applyBorder="1"/>
    <xf numFmtId="0" fontId="40" fillId="0" borderId="1" xfId="0" applyFont="1" applyBorder="1" applyAlignment="1">
      <alignment vertical="center" wrapText="1"/>
    </xf>
    <xf numFmtId="0" fontId="37" fillId="0" borderId="30" xfId="0" applyFont="1" applyBorder="1" applyAlignment="1">
      <alignment horizontal="left"/>
    </xf>
    <xf numFmtId="0" fontId="37" fillId="0" borderId="2" xfId="0" applyFont="1" applyBorder="1" applyAlignment="1">
      <alignment wrapText="1"/>
    </xf>
    <xf numFmtId="0" fontId="37" fillId="0" borderId="2" xfId="0" applyFont="1" applyBorder="1" applyAlignment="1">
      <alignment horizontal="center" wrapText="1"/>
    </xf>
    <xf numFmtId="0" fontId="42" fillId="0" borderId="0" xfId="0" applyFont="1"/>
    <xf numFmtId="0" fontId="37" fillId="0" borderId="0" xfId="0" applyFont="1"/>
    <xf numFmtId="0" fontId="37" fillId="0" borderId="0" xfId="0" applyFont="1" applyAlignment="1">
      <alignment horizontal="center"/>
    </xf>
    <xf numFmtId="3" fontId="37" fillId="0" borderId="0" xfId="0" applyNumberFormat="1" applyFont="1"/>
    <xf numFmtId="0" fontId="37" fillId="0" borderId="1" xfId="0" applyFont="1" applyBorder="1"/>
    <xf numFmtId="0" fontId="37" fillId="14" borderId="1" xfId="0" applyFont="1" applyFill="1" applyBorder="1"/>
    <xf numFmtId="0" fontId="37" fillId="0" borderId="1" xfId="0" applyFont="1" applyBorder="1" applyAlignment="1">
      <alignment horizontal="center"/>
    </xf>
    <xf numFmtId="0" fontId="41" fillId="14" borderId="1" xfId="0" applyFont="1" applyFill="1" applyBorder="1"/>
    <xf numFmtId="0" fontId="43" fillId="15" borderId="1" xfId="0" applyFont="1" applyFill="1" applyBorder="1" applyAlignment="1">
      <alignment vertical="center" wrapText="1"/>
    </xf>
    <xf numFmtId="0" fontId="37" fillId="16" borderId="1" xfId="0" applyFont="1" applyFill="1" applyBorder="1" applyAlignment="1">
      <alignment wrapText="1"/>
    </xf>
    <xf numFmtId="0" fontId="37" fillId="16" borderId="1" xfId="0" applyFont="1" applyFill="1" applyBorder="1"/>
    <xf numFmtId="0" fontId="35" fillId="11" borderId="1" xfId="0" applyFont="1" applyFill="1" applyBorder="1" applyAlignment="1">
      <alignment vertical="center" wrapText="1"/>
    </xf>
    <xf numFmtId="1" fontId="35" fillId="11" borderId="1" xfId="0" applyNumberFormat="1" applyFont="1" applyFill="1" applyBorder="1" applyAlignment="1">
      <alignment horizontal="center" vertical="center" wrapText="1"/>
    </xf>
    <xf numFmtId="0" fontId="29" fillId="14" borderId="1" xfId="0" applyFont="1" applyFill="1" applyBorder="1" applyAlignment="1">
      <alignment vertical="center" wrapText="1"/>
    </xf>
    <xf numFmtId="0" fontId="35" fillId="0" borderId="1" xfId="0" applyFont="1" applyBorder="1" applyAlignment="1">
      <alignment wrapText="1"/>
    </xf>
    <xf numFmtId="2" fontId="37" fillId="0" borderId="0" xfId="0" applyNumberFormat="1" applyFont="1"/>
    <xf numFmtId="2" fontId="37" fillId="16" borderId="1" xfId="0" applyNumberFormat="1" applyFont="1" applyFill="1" applyBorder="1"/>
    <xf numFmtId="2" fontId="37" fillId="0" borderId="1" xfId="0" applyNumberFormat="1" applyFont="1" applyBorder="1" applyAlignment="1">
      <alignment horizontal="center"/>
    </xf>
    <xf numFmtId="2" fontId="37" fillId="0" borderId="1" xfId="0" applyNumberFormat="1" applyFont="1" applyBorder="1" applyAlignment="1">
      <alignment horizontal="center" wrapText="1"/>
    </xf>
    <xf numFmtId="2" fontId="14" fillId="0" borderId="0" xfId="0" applyNumberFormat="1" applyFont="1"/>
    <xf numFmtId="0" fontId="10" fillId="0" borderId="1" xfId="0" applyFont="1" applyBorder="1" applyAlignment="1">
      <alignment horizontal="center" vertical="center"/>
    </xf>
    <xf numFmtId="164" fontId="37" fillId="0" borderId="0" xfId="0" applyNumberFormat="1" applyFont="1"/>
    <xf numFmtId="0" fontId="44" fillId="0" borderId="1" xfId="0" applyFont="1" applyBorder="1" applyAlignment="1">
      <alignment vertical="center" wrapText="1"/>
    </xf>
    <xf numFmtId="0" fontId="22" fillId="0" borderId="1" xfId="0" applyFont="1" applyBorder="1"/>
    <xf numFmtId="0" fontId="20" fillId="17" borderId="0" xfId="0" applyFont="1" applyFill="1"/>
    <xf numFmtId="0" fontId="20" fillId="0" borderId="0" xfId="0" applyFont="1" applyAlignment="1">
      <alignment horizontal="center"/>
    </xf>
    <xf numFmtId="0" fontId="19" fillId="0" borderId="0" xfId="0" applyFont="1" applyAlignment="1">
      <alignment horizontal="center"/>
    </xf>
    <xf numFmtId="0" fontId="16" fillId="10" borderId="1" xfId="0" applyFont="1" applyFill="1" applyBorder="1" applyAlignment="1">
      <alignment horizontal="center" wrapText="1"/>
    </xf>
    <xf numFmtId="0" fontId="20" fillId="11" borderId="1" xfId="0" applyFont="1" applyFill="1" applyBorder="1" applyAlignment="1">
      <alignment horizontal="center"/>
    </xf>
    <xf numFmtId="0" fontId="22" fillId="11" borderId="1" xfId="0" applyFont="1" applyFill="1" applyBorder="1" applyAlignment="1">
      <alignment horizontal="center"/>
    </xf>
    <xf numFmtId="0" fontId="20" fillId="0" borderId="1" xfId="0" applyFont="1" applyBorder="1" applyAlignment="1">
      <alignment horizontal="center"/>
    </xf>
    <xf numFmtId="0" fontId="29" fillId="0" borderId="1" xfId="0" applyFont="1" applyBorder="1" applyAlignment="1">
      <alignment horizontal="center"/>
    </xf>
    <xf numFmtId="0" fontId="20" fillId="0" borderId="2" xfId="0" applyFont="1" applyBorder="1" applyAlignment="1">
      <alignment horizontal="center"/>
    </xf>
    <xf numFmtId="0" fontId="35" fillId="11" borderId="1" xfId="0" applyFont="1" applyFill="1" applyBorder="1" applyAlignment="1">
      <alignment horizontal="center" vertical="center"/>
    </xf>
    <xf numFmtId="0" fontId="27" fillId="11" borderId="0" xfId="0" applyFont="1" applyFill="1" applyAlignment="1">
      <alignment wrapText="1"/>
    </xf>
    <xf numFmtId="0" fontId="34" fillId="0" borderId="1" xfId="0" applyFont="1" applyBorder="1" applyAlignment="1">
      <alignment vertical="center"/>
    </xf>
    <xf numFmtId="0" fontId="20" fillId="0" borderId="2" xfId="0" applyFont="1" applyBorder="1" applyAlignment="1">
      <alignment vertical="center"/>
    </xf>
    <xf numFmtId="0" fontId="20" fillId="0" borderId="2" xfId="0" applyFont="1" applyBorder="1" applyAlignment="1">
      <alignment horizontal="center" vertical="center" wrapText="1"/>
    </xf>
    <xf numFmtId="0" fontId="20" fillId="12" borderId="2" xfId="0" applyFont="1" applyFill="1" applyBorder="1"/>
    <xf numFmtId="1" fontId="20" fillId="12" borderId="2" xfId="0" applyNumberFormat="1" applyFont="1" applyFill="1" applyBorder="1"/>
    <xf numFmtId="2" fontId="20" fillId="12" borderId="2" xfId="0" applyNumberFormat="1" applyFont="1" applyFill="1" applyBorder="1"/>
    <xf numFmtId="0" fontId="20" fillId="0" borderId="2" xfId="0" applyFont="1" applyBorder="1" applyAlignment="1">
      <alignment wrapText="1"/>
    </xf>
    <xf numFmtId="0" fontId="20" fillId="12" borderId="1" xfId="0" applyFont="1" applyFill="1" applyBorder="1"/>
    <xf numFmtId="1" fontId="20" fillId="12" borderId="1" xfId="0" applyNumberFormat="1" applyFont="1" applyFill="1" applyBorder="1"/>
    <xf numFmtId="2" fontId="20" fillId="12" borderId="1" xfId="0" applyNumberFormat="1" applyFont="1" applyFill="1" applyBorder="1"/>
    <xf numFmtId="0" fontId="27" fillId="0" borderId="0" xfId="0" applyFont="1"/>
    <xf numFmtId="0" fontId="22" fillId="0" borderId="1" xfId="0" applyFont="1" applyBorder="1" applyAlignment="1">
      <alignment horizontal="left" vertical="center" wrapText="1"/>
    </xf>
    <xf numFmtId="0" fontId="27" fillId="11" borderId="0" xfId="0" applyFont="1" applyFill="1"/>
    <xf numFmtId="0" fontId="28" fillId="0" borderId="1" xfId="0" applyFont="1" applyBorder="1" applyAlignment="1">
      <alignment horizontal="center" vertical="center"/>
    </xf>
    <xf numFmtId="0" fontId="38" fillId="18" borderId="27" xfId="0" applyFont="1" applyFill="1" applyBorder="1" applyAlignment="1">
      <alignment wrapText="1"/>
    </xf>
    <xf numFmtId="0" fontId="38" fillId="18" borderId="14" xfId="0" applyFont="1" applyFill="1" applyBorder="1" applyAlignment="1">
      <alignment wrapText="1"/>
    </xf>
    <xf numFmtId="0" fontId="38" fillId="18" borderId="14" xfId="0" applyFont="1" applyFill="1" applyBorder="1" applyAlignment="1">
      <alignment horizontal="center" wrapText="1"/>
    </xf>
    <xf numFmtId="164" fontId="38" fillId="18" borderId="14" xfId="0" applyNumberFormat="1" applyFont="1" applyFill="1" applyBorder="1" applyAlignment="1">
      <alignment wrapText="1"/>
    </xf>
    <xf numFmtId="2" fontId="38" fillId="18" borderId="14" xfId="0" applyNumberFormat="1" applyFont="1" applyFill="1" applyBorder="1" applyAlignment="1">
      <alignment wrapText="1"/>
    </xf>
    <xf numFmtId="3" fontId="38" fillId="18" borderId="14" xfId="0" applyNumberFormat="1" applyFont="1" applyFill="1" applyBorder="1" applyAlignment="1">
      <alignment wrapText="1"/>
    </xf>
    <xf numFmtId="164" fontId="38" fillId="18" borderId="29" xfId="0" applyNumberFormat="1" applyFont="1" applyFill="1" applyBorder="1" applyAlignment="1">
      <alignment wrapText="1"/>
    </xf>
    <xf numFmtId="0" fontId="45" fillId="0" borderId="0" xfId="0" applyFont="1"/>
    <xf numFmtId="0" fontId="46" fillId="0" borderId="0" xfId="0" applyFont="1"/>
    <xf numFmtId="0" fontId="37" fillId="18" borderId="14" xfId="0" applyFont="1" applyFill="1" applyBorder="1" applyAlignment="1">
      <alignment wrapText="1"/>
    </xf>
    <xf numFmtId="164" fontId="38" fillId="0" borderId="0" xfId="0" applyNumberFormat="1" applyFont="1"/>
    <xf numFmtId="0" fontId="47" fillId="0" borderId="0" xfId="0" applyFont="1"/>
    <xf numFmtId="0" fontId="47" fillId="0" borderId="19" xfId="0" applyFont="1" applyBorder="1"/>
    <xf numFmtId="0" fontId="47" fillId="0" borderId="32" xfId="0" applyFont="1" applyBorder="1" applyAlignment="1">
      <alignment horizontal="left"/>
    </xf>
    <xf numFmtId="0" fontId="47" fillId="0" borderId="2" xfId="0" applyFont="1" applyBorder="1" applyAlignment="1">
      <alignment horizontal="left"/>
    </xf>
    <xf numFmtId="0" fontId="47" fillId="0" borderId="30" xfId="0" applyFont="1" applyBorder="1" applyAlignment="1">
      <alignment wrapText="1"/>
    </xf>
    <xf numFmtId="0" fontId="47" fillId="0" borderId="2" xfId="0" applyFont="1" applyBorder="1" applyAlignment="1">
      <alignment horizontal="center" wrapText="1"/>
    </xf>
    <xf numFmtId="0" fontId="47" fillId="0" borderId="31" xfId="0" applyFont="1" applyBorder="1" applyAlignment="1">
      <alignment horizontal="center" wrapText="1"/>
    </xf>
    <xf numFmtId="2" fontId="47" fillId="0" borderId="2" xfId="0" applyNumberFormat="1" applyFont="1" applyBorder="1" applyAlignment="1">
      <alignment horizontal="center" wrapText="1"/>
    </xf>
    <xf numFmtId="3" fontId="47" fillId="0" borderId="2" xfId="0" applyNumberFormat="1" applyFont="1" applyBorder="1" applyAlignment="1">
      <alignment horizontal="center" wrapText="1"/>
    </xf>
    <xf numFmtId="2" fontId="37" fillId="0" borderId="0" xfId="0" applyNumberFormat="1" applyFont="1" applyAlignment="1">
      <alignment horizontal="center" wrapText="1"/>
    </xf>
    <xf numFmtId="0" fontId="47" fillId="0" borderId="25" xfId="0" applyFont="1" applyBorder="1" applyAlignment="1">
      <alignment horizontal="left"/>
    </xf>
    <xf numFmtId="0" fontId="48" fillId="0" borderId="1" xfId="0" applyFont="1" applyBorder="1" applyAlignment="1">
      <alignment horizontal="left"/>
    </xf>
    <xf numFmtId="0" fontId="47" fillId="0" borderId="26" xfId="0" applyFont="1" applyBorder="1" applyAlignment="1">
      <alignment wrapText="1"/>
    </xf>
    <xf numFmtId="0" fontId="47" fillId="0" borderId="1" xfId="0" applyFont="1" applyBorder="1" applyAlignment="1">
      <alignment horizontal="center" wrapText="1"/>
    </xf>
    <xf numFmtId="0" fontId="47" fillId="0" borderId="19" xfId="0" applyFont="1" applyBorder="1" applyAlignment="1">
      <alignment horizontal="center" wrapText="1"/>
    </xf>
    <xf numFmtId="2" fontId="47" fillId="0" borderId="1" xfId="0" applyNumberFormat="1" applyFont="1" applyBorder="1" applyAlignment="1">
      <alignment horizontal="center" wrapText="1"/>
    </xf>
    <xf numFmtId="0" fontId="47" fillId="0" borderId="26" xfId="0" applyFont="1" applyBorder="1" applyAlignment="1">
      <alignment horizontal="center" wrapText="1"/>
    </xf>
    <xf numFmtId="164" fontId="47" fillId="0" borderId="0" xfId="0" applyNumberFormat="1" applyFont="1"/>
    <xf numFmtId="0" fontId="0" fillId="14" borderId="0" xfId="0" applyFill="1"/>
    <xf numFmtId="164" fontId="37" fillId="18" borderId="14" xfId="0" applyNumberFormat="1" applyFont="1" applyFill="1" applyBorder="1" applyAlignment="1">
      <alignment wrapText="1"/>
    </xf>
    <xf numFmtId="0" fontId="47" fillId="0" borderId="30" xfId="0" applyFont="1" applyBorder="1" applyAlignment="1">
      <alignment horizontal="center" wrapText="1"/>
    </xf>
    <xf numFmtId="164" fontId="39" fillId="0" borderId="19" xfId="0" applyNumberFormat="1" applyFont="1" applyBorder="1" applyAlignment="1">
      <alignment wrapText="1"/>
    </xf>
    <xf numFmtId="0" fontId="14" fillId="13" borderId="33" xfId="0" applyFont="1" applyFill="1" applyBorder="1"/>
    <xf numFmtId="0" fontId="49" fillId="6" borderId="6" xfId="0" applyFont="1" applyFill="1" applyBorder="1" applyAlignment="1">
      <alignment vertical="center" wrapText="1"/>
    </xf>
    <xf numFmtId="0" fontId="2" fillId="19" borderId="1" xfId="0" applyFont="1" applyFill="1" applyBorder="1" applyAlignment="1">
      <alignment horizontal="center"/>
    </xf>
    <xf numFmtId="164" fontId="38" fillId="0" borderId="19" xfId="0" applyNumberFormat="1" applyFont="1" applyBorder="1" applyAlignment="1">
      <alignment wrapText="1"/>
    </xf>
    <xf numFmtId="0" fontId="49" fillId="6" borderId="1" xfId="0" applyFont="1" applyFill="1" applyBorder="1" applyAlignment="1">
      <alignment vertical="center" wrapText="1"/>
    </xf>
    <xf numFmtId="0" fontId="51" fillId="0" borderId="0" xfId="0" applyFont="1"/>
    <xf numFmtId="0" fontId="0" fillId="20" borderId="0" xfId="0" applyFill="1"/>
    <xf numFmtId="0" fontId="27" fillId="5" borderId="1" xfId="0" applyFont="1" applyFill="1" applyBorder="1" applyAlignment="1">
      <alignment horizontal="left" vertical="center" wrapText="1"/>
    </xf>
    <xf numFmtId="0" fontId="20" fillId="5" borderId="1" xfId="0" applyFont="1" applyFill="1" applyBorder="1" applyAlignment="1">
      <alignment horizontal="left" vertical="center" wrapText="1"/>
    </xf>
    <xf numFmtId="0" fontId="22" fillId="5" borderId="1" xfId="0" applyFont="1" applyFill="1" applyBorder="1" applyAlignment="1">
      <alignment horizontal="left" vertical="center" wrapText="1"/>
    </xf>
    <xf numFmtId="0" fontId="14" fillId="20" borderId="0" xfId="0" applyFont="1" applyFill="1"/>
    <xf numFmtId="0" fontId="14" fillId="21" borderId="0" xfId="0" applyFont="1" applyFill="1"/>
    <xf numFmtId="0" fontId="0" fillId="21" borderId="0" xfId="0" applyFill="1"/>
    <xf numFmtId="0" fontId="0" fillId="22" borderId="0" xfId="0" applyFill="1"/>
    <xf numFmtId="0" fontId="14" fillId="22" borderId="0" xfId="0" applyFont="1" applyFill="1"/>
  </cellXfs>
  <cellStyles count="5">
    <cellStyle name="Ievade" xfId="4" builtinId="20"/>
    <cellStyle name="Labs" xfId="1" builtinId="26"/>
    <cellStyle name="Neitrāls" xfId="2" builtinId="28"/>
    <cellStyle name="Parasts" xfId="0" builtinId="0"/>
    <cellStyle name="Slikts" xfId="3" builtinId="27"/>
  </cellStyles>
  <dxfs count="20">
    <dxf>
      <font>
        <strike val="0"/>
        <outline val="0"/>
        <shadow val="0"/>
        <u val="none"/>
        <vertAlign val="baseline"/>
        <name val="Times New Roman"/>
        <scheme val="none"/>
      </font>
    </dxf>
    <dxf>
      <font>
        <strike val="0"/>
        <outline val="0"/>
        <shadow val="0"/>
        <u val="none"/>
        <vertAlign val="baseline"/>
        <name val="Times New Roman"/>
        <scheme val="none"/>
      </font>
      <numFmt numFmtId="3" formatCode="#,##0"/>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right style="thin">
          <color indexed="64"/>
        </right>
        <top style="thin">
          <color indexed="64"/>
        </top>
        <bottom style="thin">
          <color indexed="64"/>
        </bottom>
      </border>
    </dxf>
    <dxf>
      <font>
        <b val="0"/>
        <strike val="0"/>
        <outline val="0"/>
        <shadow val="0"/>
        <u val="none"/>
        <vertAlign val="baseline"/>
        <name val="Times New Roman"/>
        <scheme val="none"/>
      </font>
      <numFmt numFmtId="2" formatCode="0.00"/>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name val="Times New Roman"/>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font>
        <b val="0"/>
        <strike val="0"/>
        <outline val="0"/>
        <shadow val="0"/>
        <u val="none"/>
        <vertAlign val="baseline"/>
        <name val="Times New Roman"/>
        <scheme val="none"/>
      </font>
      <fill>
        <patternFill patternType="none">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left" vertical="bottom"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center" vertical="bottom" textRotation="0" wrapText="1" indent="0" justifyLastLine="0" shrinkToFit="0" readingOrder="0"/>
    </dxf>
    <dxf>
      <font>
        <b/>
        <i val="0"/>
        <strike val="0"/>
        <condense val="0"/>
        <extend val="0"/>
        <outline val="0"/>
        <shadow val="0"/>
        <u val="none"/>
        <vertAlign val="baseline"/>
        <sz val="11"/>
        <color theme="1"/>
        <name val="Times New Roman"/>
        <scheme val="none"/>
      </font>
      <numFmt numFmtId="164" formatCode="0.0"/>
      <fill>
        <patternFill patternType="solid">
          <fgColor indexed="64"/>
          <bgColor theme="3" tint="0.79998168889431442"/>
        </patternFill>
      </fill>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9C400"/>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114851</xdr:colOff>
      <xdr:row>1</xdr:row>
      <xdr:rowOff>160129</xdr:rowOff>
    </xdr:from>
    <xdr:to>
      <xdr:col>3</xdr:col>
      <xdr:colOff>851646</xdr:colOff>
      <xdr:row>9</xdr:row>
      <xdr:rowOff>2210</xdr:rowOff>
    </xdr:to>
    <mc:AlternateContent xmlns:mc="http://schemas.openxmlformats.org/markup-compatibility/2006" xmlns:sle15="http://schemas.microsoft.com/office/drawing/2012/slicer">
      <mc:Choice Requires="sle15">
        <xdr:graphicFrame macro="">
          <xdr:nvGraphicFramePr>
            <xdr:cNvPr id="2" name="Apdzīvota vieta">
              <a:extLst>
                <a:ext uri="{FF2B5EF4-FFF2-40B4-BE49-F238E27FC236}">
                  <a16:creationId xmlns:a16="http://schemas.microsoft.com/office/drawing/2014/main" id="{4F82C004-3869-058D-E8B1-BCF37C9A7A46}"/>
                </a:ext>
              </a:extLst>
            </xdr:cNvPr>
            <xdr:cNvGraphicFramePr/>
          </xdr:nvGraphicFramePr>
          <xdr:xfrm>
            <a:off x="0" y="0"/>
            <a:ext cx="0" cy="0"/>
          </xdr:xfrm>
          <a:graphic>
            <a:graphicData uri="http://schemas.microsoft.com/office/drawing/2010/slicer">
              <sle:slicer xmlns:sle="http://schemas.microsoft.com/office/drawing/2010/slicer" name="Apdzīvota vieta"/>
            </a:graphicData>
          </a:graphic>
        </xdr:graphicFrame>
      </mc:Choice>
      <mc:Fallback xmlns="">
        <xdr:sp macro="" textlink="">
          <xdr:nvSpPr>
            <xdr:cNvPr id="0" name=""/>
            <xdr:cNvSpPr>
              <a:spLocks noTextEdit="1"/>
            </xdr:cNvSpPr>
          </xdr:nvSpPr>
          <xdr:spPr>
            <a:xfrm>
              <a:off x="1156252" y="490330"/>
              <a:ext cx="4251187" cy="204967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16</xdr:col>
      <xdr:colOff>0</xdr:colOff>
      <xdr:row>10</xdr:row>
      <xdr:rowOff>0</xdr:rowOff>
    </xdr:from>
    <xdr:to>
      <xdr:col>65</xdr:col>
      <xdr:colOff>574334</xdr:colOff>
      <xdr:row>63</xdr:row>
      <xdr:rowOff>213762</xdr:rowOff>
    </xdr:to>
    <xdr:pic>
      <xdr:nvPicPr>
        <xdr:cNvPr id="3" name="Picture 2">
          <a:extLst>
            <a:ext uri="{FF2B5EF4-FFF2-40B4-BE49-F238E27FC236}">
              <a16:creationId xmlns:a16="http://schemas.microsoft.com/office/drawing/2014/main" id="{1F844C04-B524-2370-2C1E-44E5F4E97EB7}"/>
            </a:ext>
          </a:extLst>
        </xdr:cNvPr>
        <xdr:cNvPicPr>
          <a:picLocks noChangeAspect="1"/>
        </xdr:cNvPicPr>
      </xdr:nvPicPr>
      <xdr:blipFill>
        <a:blip xmlns:r="http://schemas.openxmlformats.org/officeDocument/2006/relationships" r:embed="rId1"/>
        <a:stretch>
          <a:fillRect/>
        </a:stretch>
      </xdr:blipFill>
      <xdr:spPr>
        <a:xfrm>
          <a:off x="10999694" y="2859741"/>
          <a:ext cx="35590476" cy="2783809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12.479303703702" createdVersion="8" refreshedVersion="8" minRefreshableVersion="3" recordCount="230" xr:uid="{9537E260-584A-44C7-BC02-21A7781AAAC5}">
  <cacheSource type="worksheet">
    <worksheetSource ref="A4:AC234" sheet="Rīcibas_plans"/>
  </cacheSource>
  <cacheFields count="29">
    <cacheField name="Objekta nr" numFmtId="0">
      <sharedItems/>
    </cacheField>
    <cacheField name="Rīcības apakškods" numFmtId="0">
      <sharedItems count="231">
        <s v="K1"/>
        <s v="K2-1"/>
        <s v="K2-2"/>
        <s v="K3-1"/>
        <s v="K3-2"/>
        <s v="K4"/>
        <s v="K5"/>
        <s v="K6-1"/>
        <s v="K6-2"/>
        <s v="K8"/>
        <s v="K9"/>
        <s v="K10-1"/>
        <s v="K10-2"/>
        <s v="K11"/>
        <s v="K12"/>
        <s v="K14-1"/>
        <s v="K14-2"/>
        <s v="K15'-1"/>
        <s v="K15-2"/>
        <s v="K16"/>
        <s v="K17"/>
        <s v="K18"/>
        <s v="K20"/>
        <s v="K21"/>
        <s v="K21-1"/>
        <s v="R1"/>
        <s v="K19-1"/>
        <s v="K19-2"/>
        <s v="K13-1"/>
        <s v="K13-2"/>
        <s v="K7-1"/>
        <s v="K7-2"/>
        <s v="K7-3"/>
        <s v="K7-4"/>
        <s v="K22-1"/>
        <s v="K22-2"/>
        <s v="K23"/>
        <s v="K24-1"/>
        <s v="K24-2"/>
        <s v="K25-1"/>
        <s v="K25-2"/>
        <s v="K26"/>
        <s v="K27"/>
        <s v="K28"/>
        <s v="K29-1"/>
        <s v="K29-2"/>
        <s v="K30"/>
        <s v="K31"/>
        <s v="K32"/>
        <s v="K33"/>
        <s v="K34-1"/>
        <s v="K34-2"/>
        <s v="K35-1"/>
        <s v="K35-2"/>
        <s v="K50"/>
        <s v="K37"/>
        <s v="R3"/>
        <s v="R4"/>
        <s v="R6"/>
        <s v="R7"/>
        <s v="R8"/>
        <s v="R9"/>
        <s v="R5"/>
        <s v="R2"/>
        <s v="R10"/>
        <s v="R11"/>
        <s v="R12"/>
        <s v="R13-1"/>
        <s v="R13-2"/>
        <s v="R14"/>
        <s v="R15"/>
        <s v="R16"/>
        <s v="R17"/>
        <s v="R18"/>
        <s v="R19"/>
        <s v="R20"/>
        <s v="R21"/>
        <s v="R22"/>
        <s v="R23"/>
        <s v="R24-1"/>
        <s v="R24-2"/>
        <s v="B1-1"/>
        <s v="B2"/>
        <s v="B3-1"/>
        <s v="B3-2"/>
        <s v="B4"/>
        <s v="B5"/>
        <s v="B6"/>
        <s v="B7"/>
        <s v="B8"/>
        <s v="B9-1"/>
        <s v="B9-2"/>
        <s v="B10-1"/>
        <s v="B10-2"/>
        <s v="B11-1"/>
        <s v="B11-2"/>
        <s v="B12-1"/>
        <s v="B12-2"/>
        <s v="B13-1"/>
        <s v="B13-2"/>
        <s v="B14"/>
        <s v="B15"/>
        <s v="B16"/>
        <s v="R25"/>
        <s v="R26"/>
        <s v="R27"/>
        <s v="R28-1"/>
        <s v="R28-2"/>
        <s v="D1-1"/>
        <s v="D1-2"/>
        <s v="D2"/>
        <s v="D3-1"/>
        <s v="D3-2"/>
        <s v="D4"/>
        <s v="D5"/>
        <s v="D6"/>
        <s v="D7"/>
        <s v="D9-1"/>
        <s v="D9-2"/>
        <s v="D10"/>
        <s v="D11"/>
        <s v="D12"/>
        <s v="D13"/>
        <s v="D14"/>
        <s v="D15"/>
        <s v="D16"/>
        <s v="D17"/>
        <s v="Dz1"/>
        <s v="BL1"/>
        <s v="BL2"/>
        <s v="BL3"/>
        <s v="BL4"/>
        <s v="BL5"/>
        <s v="BL6"/>
        <s v="BL7-1"/>
        <s v="BL7-2"/>
        <s v="BL8"/>
        <s v="BL9"/>
        <s v="BL10"/>
        <s v="BL11"/>
        <s v="BL12"/>
        <s v="BL13"/>
        <s v="BL14"/>
        <s v="BL15"/>
        <s v="BL16"/>
        <s v="BL17"/>
        <s v="BL18"/>
        <s v="BL19"/>
        <s v="BL20"/>
        <s v="BL21"/>
        <s v="BL22"/>
        <s v="BL23"/>
        <s v="BL24"/>
        <s v="BL25"/>
        <s v="BL26"/>
        <s v="BL27"/>
        <s v="BL28"/>
        <s v="BL29"/>
        <s v="BL30"/>
        <s v="BL31"/>
        <s v="BL32"/>
        <s v="BL33"/>
        <s v="BL34"/>
        <s v="BL35"/>
        <s v="BL36"/>
        <s v="BL37"/>
        <s v="BL38"/>
        <s v="BL39"/>
        <s v="BL40"/>
        <s v="K36"/>
        <s v="K37-1"/>
        <s v="K37-2"/>
        <s v="K38"/>
        <s v="K39"/>
        <s v="K40"/>
        <s v="K41"/>
        <s v="K42"/>
        <s v="K43"/>
        <s v="K44"/>
        <s v="K45-1"/>
        <s v="K45-2"/>
        <s v="K46"/>
        <s v="B17-1"/>
        <s v="B17-2"/>
        <s v="B18-1"/>
        <s v="B18-2"/>
        <s v="B19"/>
        <s v="B20"/>
        <s v="B21"/>
        <s v="B22"/>
        <s v="B23"/>
        <s v="B24"/>
        <s v="B25"/>
        <s v="R29"/>
        <s v="R30"/>
        <s v="Dz2"/>
        <s v="Dz3"/>
        <s v="Dz4"/>
        <s v="Dz5"/>
        <s v="D18"/>
        <s v="D19"/>
        <s v="D20"/>
        <s v="D21"/>
        <s v="D22"/>
        <s v="D23"/>
        <s v="D24"/>
        <s v="D25"/>
        <s v="D26"/>
        <s v="D27"/>
        <s v="D28"/>
        <s v="D29"/>
        <s v="D30"/>
        <s v="D31"/>
        <s v="D32"/>
        <s v="D33"/>
        <s v="D34"/>
        <s v="D35"/>
        <s v="D36"/>
        <s v="D37"/>
        <s v="MP1"/>
        <s v="MP2"/>
        <s v="MP3"/>
        <s v="MP4"/>
        <s v="Dz6"/>
        <s v="J1 "/>
        <s v="K47"/>
        <s v="K48"/>
        <s v="K49"/>
        <s v="K51"/>
        <s v="K52"/>
        <s v="B39" u="1"/>
      </sharedItems>
    </cacheField>
    <cacheField name="Apdzīvotā vieta" numFmtId="0">
      <sharedItems containsBlank="1"/>
    </cacheField>
    <cacheField name="Objekts (nosaukums, adrese)" numFmtId="0">
      <sharedItems/>
    </cacheField>
    <cacheField name="Kadastrs" numFmtId="0">
      <sharedItems containsMixedTypes="1" containsNumber="1" containsInteger="1" minValue="80050010040" maxValue="80700080932001"/>
    </cacheField>
    <cacheField name="Piederība" numFmtId="0">
      <sharedItems containsBlank="1"/>
    </cacheField>
    <cacheField name="Infrastruktūras veids " numFmtId="0">
      <sharedItems containsBlank="1"/>
    </cacheField>
    <cacheField name="Realizēts 2020-2023" numFmtId="0">
      <sharedItems containsBlank="1" longText="1"/>
    </cacheField>
    <cacheField name="Paveikts/zaudējis aktualitāti" numFmtId="0">
      <sharedItems containsBlank="1"/>
    </cacheField>
    <cacheField name="Funkcija" numFmtId="0">
      <sharedItems containsBlank="1"/>
    </cacheField>
    <cacheField name="Pieejamība" numFmtId="0">
      <sharedItems containsBlank="1"/>
    </cacheField>
    <cacheField name="Labiekārtojuma kvalitāte" numFmtId="0">
      <sharedItems containsBlank="1"/>
    </cacheField>
    <cacheField name="Atpazīstamība" numFmtId="0">
      <sharedItems containsBlank="1"/>
    </cacheField>
    <cacheField name="Vides kvalitāte" numFmtId="0">
      <sharedItems containsBlank="1"/>
    </cacheField>
    <cacheField name="Veicamie darbi - situācijas izklāsts" numFmtId="0">
      <sharedItems containsBlank="1"/>
    </cacheField>
    <cacheField name="Vecamie darbi, kategorijas" numFmtId="0">
      <sharedItems containsBlank="1"/>
    </cacheField>
    <cacheField name="Vecamie darbi, kategorija" numFmtId="0">
      <sharedItems/>
    </cacheField>
    <cacheField name="Darba apjoms (platība vai vienība)" numFmtId="0">
      <sharedItems containsSemiMixedTypes="0" containsString="0" containsNumber="1" minValue="0.75" maxValue="50000"/>
    </cacheField>
    <cacheField name="Mērienība" numFmtId="0">
      <sharedItems containsMixedTypes="1" containsNumber="1" containsInteger="1" minValue="0" maxValue="0"/>
    </cacheField>
    <cacheField name="Vienības izmaksas" numFmtId="0">
      <sharedItems containsMixedTypes="1" containsNumber="1" containsInteger="1" minValue="0" maxValue="60000"/>
    </cacheField>
    <cacheField name="Izmaksas" numFmtId="0">
      <sharedItems containsString="0" containsBlank="1" containsNumber="1" containsInteger="1" minValue="0" maxValue="21480000"/>
    </cacheField>
    <cacheField name="mērķauditorija " numFmtId="0">
      <sharedItems containsSemiMixedTypes="0" containsString="0" containsNumber="1" containsInteger="1" minValue="10" maxValue="50000"/>
    </cacheField>
    <cacheField name="Plānotais vienas reizes lietošanas ilgums vienam cilvēkam, stundas" numFmtId="0">
      <sharedItems containsSemiMixedTypes="0" containsString="0" containsNumber="1" minValue="0.01" maxValue="2.5"/>
    </cacheField>
    <cacheField name="Plānotais lietošanas biežums reizes mēnesī" numFmtId="0">
      <sharedItems containsSemiMixedTypes="0" containsString="0" containsNumber="1" minValue="0.5" maxValue="40"/>
    </cacheField>
    <cacheField name="Infrastruktūras izmantošanas rādītājs cilvēkstundās gadā " numFmtId="0">
      <sharedItems containsSemiMixedTypes="0" containsString="0" containsNumber="1" containsInteger="1" minValue="6" maxValue="1620000"/>
    </cacheField>
    <cacheField name="Infrastruktūras izmantošanas rādītājs cilvēku apmeklējumi gadā " numFmtId="1">
      <sharedItems containsSemiMixedTypes="0" containsString="0" containsNumber="1" containsInteger="1" minValue="120" maxValue="9000000"/>
    </cacheField>
    <cacheField name="Izmaksu efektivitāte - EUR uz vienu cilvēkstundu gadā" numFmtId="2">
      <sharedItems containsSemiMixedTypes="0" containsString="0" containsNumber="1" minValue="0" maxValue="921.66666666666663"/>
    </cacheField>
    <cacheField name="Izmaksu efektivitāte - EUR uz vienu apmeklējumu gadā" numFmtId="2">
      <sharedItems containsSemiMixedTypes="0" containsString="0" containsNumber="1" minValue="0" maxValue="201.66666666666666"/>
    </cacheField>
    <cacheField name="Prioritāte_x000a_1 - 2024 - 2025_x000a_2 - 2026 - 2027_x000a_3 - 2028 - 2029_x000a_7+" numFmtId="0">
      <sharedItems containsSemiMixedTypes="0" containsString="0" containsNumber="1" containsInteger="1" minValue="1" maxValue="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
  <r>
    <s v="K1"/>
    <x v="0"/>
    <s v="Ķekava"/>
    <s v="Novadpētniecības muzeja, Doles Tautas nama ēkas apkārtne_x000a_Ķekavas parka Z daļa Rīgas iela 26,Skolas iela 2A,"/>
    <s v="80700081812_x000a_80700081506"/>
    <s v="Pašvaldība"/>
    <s v="Esoša publiskā ārtelpa"/>
    <s v="Pie muzeja uzstādīts interaktīvais infostends"/>
    <m/>
    <s v="Publiskās apbūves teritorija"/>
    <s v="Augsts"/>
    <s v="Augsts"/>
    <s v="Augsts"/>
    <s v="Augsts"/>
    <s v="Teritorijas papildināšana ar koku stādījumiem pie Novadpētniecības muzeja"/>
    <s v="Esošā labiekārtojuma pilnveidošana"/>
    <s v="Esošā labiekārtojuma pilnveidošana"/>
    <n v="12800"/>
    <s v="m2"/>
    <n v="50"/>
    <n v="640000"/>
    <n v="4000"/>
    <n v="0.1"/>
    <n v="10"/>
    <n v="48000"/>
    <n v="480000"/>
    <n v="13.333333333333334"/>
    <n v="1.3333333333333333"/>
    <n v="3"/>
  </r>
  <r>
    <s v="K2"/>
    <x v="1"/>
    <s v="Ķekava"/>
    <s v="Jauno ideju centrs, Skolas iela 2"/>
    <s v="_x000a_80700081451"/>
    <s v="Pašvaldība"/>
    <s v="Esoša publiskā ārtelpa"/>
    <m/>
    <m/>
    <s v="Publiskās apbūves teritorija"/>
    <s v="Augsts"/>
    <s v="Augsts"/>
    <s v="Vidējs"/>
    <s v="Augsts"/>
    <s v="Papildināt teritoriju ar lēzenu gājēju savienojumu (pandusu) ar Ķekavas parka teritorijas gājēju ceļiem, lietišķās atpūtas vieta (S tipa)"/>
    <s v="Transporta infrastruktūra - kājāmgājēju infrastruktūras pilnveidošana"/>
    <s v="Transporta infrastruktūra - kājāmgājēju infrastruktūras pilnveidošana (bruģis)"/>
    <n v="9000"/>
    <s v="m2"/>
    <n v="55"/>
    <n v="495000"/>
    <n v="4000"/>
    <n v="0.1"/>
    <n v="10"/>
    <n v="48000"/>
    <n v="480000"/>
    <n v="10.3125"/>
    <n v="1.03125"/>
    <n v="1"/>
  </r>
  <r>
    <s v="K2"/>
    <x v="2"/>
    <s v="Ķekava"/>
    <s v="Jauno ideju centrs, Skolas iela 2"/>
    <s v="_x000a_80700081451"/>
    <s v="Pašvaldība"/>
    <s v="Esoša publiskā ārtelpa"/>
    <s v="Uzstādīts viedais un interaktīvais sols  "/>
    <m/>
    <s v="Publiskās apbūves teritorija"/>
    <s v="Augsts"/>
    <s v="Augsts"/>
    <s v="Vidējs"/>
    <s v="Augsts"/>
    <s v="Lietišķās atpūtas vietas izveide "/>
    <s v="Lietišķās atpūtas vieta (L)"/>
    <s v="Lietišķās atpūtas vieta (L)"/>
    <n v="1"/>
    <s v="gab."/>
    <n v="7160"/>
    <n v="7160"/>
    <n v="4000"/>
    <n v="0.5"/>
    <n v="5"/>
    <n v="120000"/>
    <n v="240000"/>
    <n v="5.9666666666666666E-2"/>
    <n v="2.9833333333333333E-2"/>
    <n v="1"/>
  </r>
  <r>
    <s v="K3"/>
    <x v="3"/>
    <s v="Ķekava"/>
    <s v="Ābeļdārzs, Skolas iela 1"/>
    <n v="80700081144"/>
    <s v="Pašvaldība"/>
    <s v="Esoša publiskā ārtelpa"/>
    <m/>
    <m/>
    <s v="Publiskās apbūves teritorija"/>
    <s v="Vidējs"/>
    <s v="Vidējs"/>
    <s v="Zems"/>
    <s v="Vidējs"/>
    <s v="Veikt skvēra rekonstrukciju, sakārtojot tā funkcionālo zonējumu - gājēju zona, lietisķās atpūtas vietas (L tipa), apstādījumu zona, vides objekts. Savienojumi (gājēju pārejas pāri Nākotnes ielai)"/>
    <s v="Esošā labiekārtojuma pilnveidošana "/>
    <s v="Esošā labiekārtojuma pilnveidošana"/>
    <n v="13000"/>
    <s v="m2"/>
    <n v="50"/>
    <n v="650000"/>
    <n v="3000"/>
    <n v="0.1"/>
    <n v="8"/>
    <n v="28800"/>
    <n v="288000"/>
    <n v="22.569444444444443"/>
    <n v="2.2569444444444446"/>
    <n v="1"/>
  </r>
  <r>
    <s v="K3"/>
    <x v="4"/>
    <s v="Ķekava"/>
    <s v="Ābeļdārzs, Skolas iela 1"/>
    <s v="_x000a_80700081144"/>
    <s v="Pašvaldība"/>
    <s v="Esoša publiskā ārtelpa"/>
    <s v="Viedais soliņš"/>
    <s v="Final"/>
    <s v="Publiskās apbūves teritorija"/>
    <m/>
    <m/>
    <m/>
    <m/>
    <s v="Veikt skvēra rekonstrukciju, sakārtojot tā funkcionālo zonējumu - gājēju zona, lietisķās atpūtas vietas (L tipa), apstādījumu zona, vides objekts. Savienojumi (gājēju pārejas pāri Nākotnes ielai)"/>
    <s v="Lietišķās atpūtas vieta (L)"/>
    <s v="Lietišķās atpūtas vieta (L)"/>
    <n v="2"/>
    <s v="gab."/>
    <n v="7160"/>
    <m/>
    <n v="800"/>
    <n v="0.1"/>
    <n v="10"/>
    <n v="9600"/>
    <n v="96000"/>
    <n v="0"/>
    <n v="0"/>
    <n v="1"/>
  </r>
  <r>
    <s v="K4"/>
    <x v="5"/>
    <s v="Ķekava"/>
    <s v="Mūzikas skolas priekšlaukums, Skolas iela 3"/>
    <n v="80700081522"/>
    <s v="Pašvaldība"/>
    <s v="Esoša publiskā ārtelpa"/>
    <s v="Vides objekts Nots, skulptūra. Ir koki Mūzikas skolas zālē ir sastādīti kādi 6-7 koki. "/>
    <s v="Final"/>
    <s v="Publiskās apbūves teritorija"/>
    <s v="Vidējs"/>
    <s v="Augsts"/>
    <s v="Zems"/>
    <s v="Augsts"/>
    <s v="Papildināt ar koku stādījumiem"/>
    <s v="Koku stādījumu pilnveidošana"/>
    <s v="Koku stādījumu pilnveidošana (dižstādi)"/>
    <n v="5"/>
    <s v="gab."/>
    <n v="450"/>
    <m/>
    <n v="1500"/>
    <n v="0.1"/>
    <n v="8"/>
    <n v="14400"/>
    <n v="144000"/>
    <n v="0"/>
    <n v="0"/>
    <n v="2"/>
  </r>
  <r>
    <s v="K5"/>
    <x v="6"/>
    <s v="Ķekava"/>
    <s v=" Ķekavas sākumskola, Nākotnes iela 1A, Nākotnes iela 3, Dienvidu iela 3"/>
    <s v="80700083258_x000a_80700081597"/>
    <s v="Pašvaldība"/>
    <s v="Esoša publiskā ārtelpa"/>
    <s v="Aizstāta viena izkritusī liepa"/>
    <m/>
    <s v="Publiskās apbūves teritorija"/>
    <s v="Augsts"/>
    <s v="Augsts"/>
    <s v="Zems"/>
    <s v="Vidējs"/>
    <s v="Papildināt ar koku stādijumiem"/>
    <s v="Koku stādījumu pilnveidošana"/>
    <s v="Koku stādījumu pilnveidošana (dižstādi)"/>
    <n v="10"/>
    <s v="gab."/>
    <n v="450"/>
    <n v="4500"/>
    <n v="1500"/>
    <n v="0.1"/>
    <n v="8"/>
    <n v="14400"/>
    <n v="144000"/>
    <n v="0.3125"/>
    <n v="3.125E-2"/>
    <n v="2"/>
  </r>
  <r>
    <s v="K6"/>
    <x v="7"/>
    <s v="Ķekava"/>
    <s v="Ķekavas parka ZK-daļa, Gaismas iela 1C,"/>
    <n v="80700083312"/>
    <s v="Pašvaldība"/>
    <s v="Esoša publiskā ārtelpa"/>
    <m/>
    <m/>
    <s v="Dabas un apstādījumu teritorija (Parks, Skvērs, Mežaparks)"/>
    <s v="Vidējs"/>
    <s v="Vidējs"/>
    <s v="Vidējs"/>
    <s v="Vidējs"/>
    <s v="Gājēju ceļu izbūve un lietišķās atpūtas vietu labiekārtošana (S un M tipa). Uzlabot pieejamību pie Brāļu kapu teritorijas (uzkalniņa). Izvērtēt skatu atvēršanu no Brāļu kapu kalniņa"/>
    <s v="Transporta infrastruktūra - kājāmgājēju infrastruktūras pilnveidošana"/>
    <s v="Transporta infrastruktūra - kājāmgājēju infrastruktūras pilnveidošana (bruģis)"/>
    <n v="20000"/>
    <s v="m2"/>
    <n v="55"/>
    <n v="1100000"/>
    <n v="5000"/>
    <n v="0.4"/>
    <n v="2"/>
    <n v="48000"/>
    <n v="120000"/>
    <n v="22.916666666666668"/>
    <n v="9.1666666666666661"/>
    <n v="7"/>
  </r>
  <r>
    <s v="K6"/>
    <x v="8"/>
    <s v="Ķekava"/>
    <s v="Ķekavas parka ZK-daļa, Gaismas iela 1C,"/>
    <n v="80700083312"/>
    <s v="Pašvaldība"/>
    <s v="Esoša publiskā ārtelpa"/>
    <m/>
    <m/>
    <s v="Dabas un apstādījumu teritorija (Parks, Skvērs, Mežaparks)"/>
    <s v="Vidējs"/>
    <s v="Vidējs"/>
    <s v="Vidējs"/>
    <s v="Vidējs"/>
    <s v="Gājēju ceļu izbūve un lietišķās atpūtas vietu labiekārtošana (S un M tipa). Uzlabot pieejamību pie Brāļu kapu teritorijas (uzkalniņa). Izvērtēt skatu atvēršanu no Brāļu kapu kalniņa"/>
    <s v="Lietišķās atpūtas vieta (S)"/>
    <s v="Lietišķās atpūtas vieta (S)"/>
    <n v="5"/>
    <s v="gab."/>
    <n v="2765"/>
    <n v="13825"/>
    <n v="1000"/>
    <n v="1"/>
    <n v="10"/>
    <n v="120000"/>
    <n v="120000"/>
    <n v="0.11520833333333333"/>
    <n v="0.11520833333333333"/>
    <n v="7"/>
  </r>
  <r>
    <s v="K8"/>
    <x v="9"/>
    <s v="Ķekava"/>
    <s v="Ķekavas parks K-krasts, Gaismas iela 7B (80700082650)"/>
    <n v="80700082650"/>
    <s v="Fiziska persona"/>
    <s v="Esoša publiskā ārtelpa"/>
    <s v="Demontētas kūts drupas. Labiekārtots zāliens. Taciņas tikai iemītas.  "/>
    <m/>
    <s v="Dabas un apstādījumu teritorija (Parks, Skvērs, Mežaparks)"/>
    <s v="Vidējs"/>
    <s v="Vidējs"/>
    <s v="Zems"/>
    <s v="Vidējs"/>
    <s v="Gājēju ceļu izbūve, veidojot savienojumus ar citām rekreācijas teritorijām"/>
    <s v="Transporta infrastruktūra - kājāmgājēju infrastruktūras pilnveidošana. Sporta infrastruktūra "/>
    <s v="Transporta infrastruktūra - kājāmgājēju infrastruktūras pilnveidošana (bruģis)"/>
    <n v="2500"/>
    <s v="m2"/>
    <n v="55"/>
    <n v="137500"/>
    <n v="5500"/>
    <n v="1"/>
    <n v="5"/>
    <n v="330000"/>
    <n v="330000"/>
    <n v="0.41666666666666669"/>
    <n v="0.41666666666666669"/>
    <n v="2"/>
  </r>
  <r>
    <s v="K9"/>
    <x v="10"/>
    <s v="Ķekava"/>
    <s v="Ķekavas parks VK-daļa, Gaismas iela 7A,"/>
    <n v="80700082651"/>
    <s v="Pašvaldība"/>
    <s v="Esoša publiskā ārtelpa"/>
    <s v="Nobruģētā taciņa aiz vidusskolas uz parka pusi.  "/>
    <s v="Final"/>
    <s v="Dabas un apstādījumu teritorija (Parks, Skvērs, Mežaparks)"/>
    <s v="Vidējs"/>
    <s v="Vidējs"/>
    <s v="Augsts"/>
    <s v="Augsts"/>
    <s v="Gājēju ceļu izbūve, veidojot savienojumus ar citām rekreācijas teritorijām"/>
    <s v="Transporta infrastruktūra - kājāmgājēju infrastruktūras pilnveidošana"/>
    <s v="Transporta infrastruktūra - kājāmgājēju infrastruktūras pilnveidošana (bruģis)"/>
    <n v="34000"/>
    <s v="m2"/>
    <n v="55"/>
    <m/>
    <n v="5500"/>
    <n v="1"/>
    <n v="5"/>
    <n v="330000"/>
    <n v="330000"/>
    <n v="0"/>
    <n v="0"/>
    <n v="2"/>
  </r>
  <r>
    <s v="K10"/>
    <x v="11"/>
    <s v="Ķekava"/>
    <s v="`Ķekavas ūdensdzirnavas``, Kekavas parka DK-daļa ar rotaļu laukumu "/>
    <n v="80700082647"/>
    <s v="Fiziska persona"/>
    <s v="Esoša publiskā ārtelpa"/>
    <s v=" Viena iestaigātā taciņa nobruģēta. "/>
    <m/>
    <s v="Dabas un apstādījumu teritorija (Skvērs, Parks, Mežaparks), Aktīvās atpūtas teritorija (Stadions, sporta laukumi)"/>
    <s v="Vidējs"/>
    <s v="Zems"/>
    <s v="Zems"/>
    <s v="Augsts"/>
    <s v="Samazināt antropogēno slodzi uz apkārtejo teritoriju. Platāki gājēju ceļi, cietais segums, atbilstošs segums zem rotaļu iekārtām."/>
    <s v="Transporta infrastruktūra - kājāmgājēju infrastruktūras pilnveidošana_x000a_"/>
    <s v="Transporta infrastruktūra - kājāmgājēju infrastruktūras pilnveidošana (bruģis)"/>
    <n v="5000"/>
    <s v="m2"/>
    <n v="55"/>
    <n v="275000"/>
    <n v="5500"/>
    <n v="1"/>
    <n v="5"/>
    <n v="330000"/>
    <n v="330000"/>
    <n v="0.83333333333333337"/>
    <n v="0.83333333333333337"/>
    <n v="3"/>
  </r>
  <r>
    <s v="K10"/>
    <x v="12"/>
    <s v="Ķekava"/>
    <s v="`Ķekavas ūdensdzirnavas``, Kekavas parka DK-daļa ar rotaļu laukumu "/>
    <n v="80700082647"/>
    <s v="Fiziska persona"/>
    <s v="Esoša publiskā ārtelpa"/>
    <s v="Vecie rotaļu elementi aizstāti ar jauniem. Apgaismojums taciņai pie dzirnavu drupām. Videnovērošana"/>
    <s v="Final"/>
    <s v="Dabas un apstādījumu teritorija (Skvērs, Parks, Mežaparks), Aktīvās atpūtas teritorija (Stadions, sporta laukumi)"/>
    <s v="Vidējs"/>
    <s v="Zems"/>
    <s v="Zems"/>
    <s v="Augsts"/>
    <s v="Samazināt antropogēno slodzi uz apkārtejo teritoriju. Platāki gājēju ceļi, cietais segums, atbilstošs segums zem rotaļu iekārtām."/>
    <s v="_x000a_Segumu ieklāšana zems rotaļu zonas "/>
    <s v="Segumu ieklāšana zem rotaļu zonas "/>
    <n v="200"/>
    <s v="m2"/>
    <n v="75"/>
    <m/>
    <n v="800"/>
    <n v="1"/>
    <n v="6"/>
    <n v="57600"/>
    <n v="57600"/>
    <n v="0"/>
    <n v="0"/>
    <n v="3"/>
  </r>
  <r>
    <s v="K11"/>
    <x v="13"/>
    <s v="Ķekava"/>
    <s v="Tirdzniecības/Darījumu ēku apkārtne, Nākotnes iela 2,Nākotnes iela 1, Rīgas iela 28."/>
    <s v="80700083249, _x000a_80700081277"/>
    <s v="Juridiska persona"/>
    <s v="Esoša publiskā ārtelpa"/>
    <s v="Ir iecere, bet nav projekta"/>
    <s v="Zaudējis aktualitāti"/>
    <s v="Publiskās apbūves teritorija"/>
    <s v="Augsts"/>
    <s v="Vidējs"/>
    <s v="Zems"/>
    <s v="Vidējs"/>
    <s v="Ieejas zonas iezīmēšana (jur.persona t/c Dalderi). Zaļās zonas palielināšana ar koku stādījumiem."/>
    <s v="Koku stādījumu pilnveidošana"/>
    <s v="Koku stādījumu pilnveidošana (dižstādi)"/>
    <n v="5"/>
    <s v="gab."/>
    <n v="450"/>
    <m/>
    <n v="1500"/>
    <n v="0.1"/>
    <n v="8"/>
    <n v="14400"/>
    <n v="144000"/>
    <n v="0"/>
    <n v="0"/>
    <n v="3"/>
  </r>
  <r>
    <s v="K12"/>
    <x v="14"/>
    <s v="Ķekava"/>
    <s v="Doles-Ķekavas Evaņģēliski luteriskā baznīca, Rīgas iela 75."/>
    <n v="80700080967"/>
    <s v="Juridiska persona"/>
    <s v="Esoša publiskā ārtelpa"/>
    <m/>
    <s v="Zaudējis aktualitāti"/>
    <s v="Publiskās apbūves teritorija, Kultūrvēsturiska teritorija. Aizstāt ar norādi. Norāde uz atpūtas vietu pie ūdens. Izvietošanai pie baznīcas. Atpūtas vieta &quot;Murdiņi&quot; un stāvlaukums "/>
    <s v="Augsts"/>
    <s v="Augsts"/>
    <s v="Augsts"/>
    <s v="Vidējs"/>
    <s v="Turpmākajā plānošanas procesā veicamie darbi"/>
    <s v="Esošā labiekārtojuma pilnveidošana. Norāžu izvietošana."/>
    <s v="Norāžu izvietošana"/>
    <n v="1"/>
    <s v="gab."/>
    <n v="90"/>
    <m/>
    <n v="200"/>
    <n v="0.25"/>
    <n v="4"/>
    <n v="9000"/>
    <n v="6000"/>
    <n v="0"/>
    <n v="0"/>
    <n v="7"/>
  </r>
  <r>
    <s v="K14-1"/>
    <x v="15"/>
    <s v="Ķekava"/>
    <s v="Labiekārtota atpūtas vietas pie ūdens zona, Dārznieku iela 13,"/>
    <n v="80700081121"/>
    <s v="Pašvaldība"/>
    <s v="Esoša publiskā ārtelpa"/>
    <s v="Pludmale nodota apsiamniekšanā biedrībai &quot;Sudrabgārnis&quot;. Ir misksate, galds, laivu piestātne, nojume, tālāk vēl pašvaldibas aptūtas vieta. "/>
    <s v="Final "/>
    <s v="Dabas un apstādījumu teritorija (Parks, Skvērs, Mežaparks), Atpūtas vieta pie ūdens"/>
    <s v="Vidējs"/>
    <s v="Augsts"/>
    <s v="Vidējs"/>
    <s v="Vidējs"/>
    <s v="Savstarpēji saskaņoti labiekārtojuma elementi, papildināt ar apgaismojumu, norādes uz atpūtas vietu pie ūdens."/>
    <s v="Esošā labiekārtojuma pilnveidošana "/>
    <s v="Esošā labiekārtojuma pilnveidošana"/>
    <n v="400"/>
    <s v="m2"/>
    <n v="50"/>
    <m/>
    <n v="1000"/>
    <n v="1.5"/>
    <n v="0.5"/>
    <n v="9000"/>
    <n v="6000"/>
    <n v="0"/>
    <n v="0"/>
    <n v="7"/>
  </r>
  <r>
    <s v="K14-2"/>
    <x v="16"/>
    <s v="Ķekava"/>
    <s v="Labiekārtota atpūtas vietas pie ūdens  zona,Dārznieku iela 13,"/>
    <n v="80700081121"/>
    <s v="Pašvaldība"/>
    <s v="Esoša publiskā ārtelpa"/>
    <m/>
    <s v="Final"/>
    <s v="Dabas un apstādījumu teritorija (Parks, Skvērs, Mežaparks), Atpūtas vieta pie ūdens"/>
    <s v="Vidējs"/>
    <s v="Augsts"/>
    <s v="Vidējs"/>
    <s v="Vidējs"/>
    <s v="Savstarpēji saskaņoti labiekārtojuma elementi, papildināt ar apgaismojumu, norādes uz atpūtas vietu pie ūdens"/>
    <s v="Norāžu izvietošana"/>
    <s v="Norāžu izvietošana"/>
    <n v="2"/>
    <s v="gab."/>
    <n v="90"/>
    <m/>
    <n v="1000"/>
    <n v="0.01"/>
    <n v="0.5"/>
    <n v="60"/>
    <n v="6000"/>
    <n v="0"/>
    <n v="0"/>
    <n v="2"/>
  </r>
  <r>
    <s v="K15"/>
    <x v="17"/>
    <s v="Ķekava"/>
    <s v="Ķekavas vidusskola, Gaismas iela 9"/>
    <n v="80700081450"/>
    <s v="Pašvaldība"/>
    <s v="Esoša publiskā ārtelpa"/>
    <s v="Multifukncionalas sporta laukums apagaismots. Ledus ziemā, basketbols vasarā. 2021.gada būve. "/>
    <s v="Final"/>
    <s v="Publiskās apbūves teritorija"/>
    <s v="Augsts"/>
    <s v="Augsts"/>
    <s v="Zems"/>
    <s v="Augsts"/>
    <s v="Veikt skolas priekšlaukuma rekonstrukciju un funkcionālo zonējumu - gājēju ceļi, velosipēdu novietnes, lietišķās atpūtas vieta (S tipa), apstādījumu zona"/>
    <s v="Veikt skolas priekšlaukuma rekonstrukciju un funkcionālo zonējumu - gājēju ceļi, velosipēdu novietnes,  apstādījumu zona"/>
    <s v="Publiskais laukums"/>
    <n v="2000"/>
    <s v="m2"/>
    <n v="50"/>
    <m/>
    <n v="500"/>
    <n v="0.15"/>
    <n v="15"/>
    <n v="13500"/>
    <n v="90000"/>
    <n v="0"/>
    <n v="0"/>
    <n v="1"/>
  </r>
  <r>
    <s v="K15"/>
    <x v="18"/>
    <s v="Ķekava"/>
    <s v="Ķekavas vidusskola, Gaismas iela 9"/>
    <n v="80700081450"/>
    <s v="Pašvaldība"/>
    <s v="Esoša publiskā ārtelpa"/>
    <m/>
    <m/>
    <s v="Publiskās apbūves teritorija"/>
    <s v="Augsts"/>
    <s v="Augsts"/>
    <s v="Zems"/>
    <s v="Augsts"/>
    <s v="Veikt skolas priekšlaukuma rekonstrukciju un funkcionālo zonējumu - gājēju ceļi, velosipēdu novietnes, lietišķās atpūtas vieta (S tipa), apstādījumu zona"/>
    <s v="Lietišķās atpūtas vieta (S)"/>
    <s v="Lietišķās atpūtas vieta (S)"/>
    <n v="1"/>
    <s v="gab."/>
    <n v="2765"/>
    <n v="2765"/>
    <n v="500"/>
    <n v="0.15"/>
    <n v="15"/>
    <n v="13500"/>
    <n v="90000"/>
    <n v="0.20481481481481481"/>
    <n v="3.0722222222222224E-2"/>
    <n v="1"/>
  </r>
  <r>
    <s v="K16"/>
    <x v="19"/>
    <s v="Ķekava"/>
    <s v="Ķekavas kultūras nama priekšlaukums, Gaismas iela 17"/>
    <n v="80700081740"/>
    <s v="Pašvaldība"/>
    <s v="Esoša publiskā ārtelpa"/>
    <s v="2023.gadā paredzēta kultūras nama fasādes rekonstrukcija."/>
    <m/>
    <s v="Publiskās apbūves teritorija"/>
    <s v="Vidējs"/>
    <s v="Vidējs"/>
    <s v="Zems"/>
    <s v="Vidējs"/>
    <s v="Papildināt ar pasīvās atpūtas vietu (M tipa)"/>
    <s v="Lietišķās atpūtas vieta (M)"/>
    <s v="Lietišķās atpūtas vieta (M)"/>
    <n v="2"/>
    <s v="gab."/>
    <n v="3150"/>
    <n v="6300"/>
    <n v="4800"/>
    <n v="0.2"/>
    <n v="8"/>
    <n v="92160"/>
    <n v="460800"/>
    <n v="6.8359375E-2"/>
    <n v="1.3671875E-2"/>
    <n v="1"/>
  </r>
  <r>
    <s v="K17"/>
    <x v="20"/>
    <s v="Ķekava"/>
    <s v="Ķekavas upes atpūtas vieta &quot;Dambītis&quot;"/>
    <n v="80700082376"/>
    <s v="Pašvaldība"/>
    <s v="Esoša publiskā ārtelpa"/>
    <m/>
    <m/>
    <s v="Dabas un apstādījumu teritorija (Skvērs, Parks, Mežaparks), Aktīvās atpūtas teritorija (Stadions, sporta laukumi), Atpūtas vieta pie ūdens"/>
    <s v="Zems"/>
    <s v="Zems"/>
    <s v="Zems"/>
    <s v="Vidējs"/>
    <s v="Lietišķās atpūtas vietas labiekārtošana (L tipa). Jāplāno norādes un piekļuves uzlabošana."/>
    <s v="Lietišķās atpūtas vieta (L)"/>
    <s v="Lietišķās atpūtas vieta (L)"/>
    <n v="1"/>
    <s v="gab."/>
    <n v="7160"/>
    <n v="7160"/>
    <n v="1200"/>
    <n v="1"/>
    <n v="0.5"/>
    <n v="7200"/>
    <n v="7200"/>
    <n v="0.99444444444444446"/>
    <n v="0.99444444444444446"/>
    <n v="1"/>
  </r>
  <r>
    <s v="K18"/>
    <x v="21"/>
    <s v="Ķekava"/>
    <s v="Ķekavas sporta klubs, `Fortius```Delta``"/>
    <n v="80700082692"/>
    <s v="Pašvaldība"/>
    <s v="Esoša publiskā ārtelpa"/>
    <m/>
    <m/>
    <s v="Aktīvās atpūtas teritorija (Stadions, sporta laukumi)"/>
    <s v="Vidējs"/>
    <s v="Vidējs"/>
    <s v="Vidējs"/>
    <s v="Vidējs"/>
    <s v="Aktīvās atpūtas labiekārtojuma papildināšana"/>
    <s v="Būvprojekta izstrāde "/>
    <s v="Būvprojekta izstrāde "/>
    <n v="1"/>
    <s v="m2"/>
    <n v="0"/>
    <n v="30300"/>
    <n v="1000"/>
    <n v="1.5"/>
    <n v="5"/>
    <n v="90000"/>
    <n v="60000"/>
    <n v="0.33666666666666667"/>
    <n v="0.505"/>
    <n v="3"/>
  </r>
  <r>
    <s v="K20"/>
    <x v="22"/>
    <s v="Ķekava"/>
    <s v="Ķekavas pašvaldības priekšlaukums, pie ēkas Gaismas ielā 19-k-9"/>
    <n v="80700081231"/>
    <s v="Pašvaldība"/>
    <s v="Esoša publiskā ārtelpa"/>
    <s v="2019.gadā izbūvēts stāvlaukums ar labiekārtojumu"/>
    <s v="Final"/>
    <s v="Publiskās apbūves teritorija"/>
    <s v="Augsts"/>
    <s v="Augsts"/>
    <s v="Vidējs"/>
    <s v="Augsts"/>
    <s v="- "/>
    <s v="Sabiedriskas ēkas priekšlaukuma ierīkošana"/>
    <s v="Publiskais laukums"/>
    <n v="500"/>
    <s v="m2"/>
    <n v="50"/>
    <m/>
    <n v="7000"/>
    <n v="0.05"/>
    <n v="15"/>
    <n v="63000"/>
    <n v="1260000"/>
    <n v="0"/>
    <n v="0"/>
    <n v="7"/>
  </r>
  <r>
    <s v="K21"/>
    <x v="23"/>
    <s v="Ķekava"/>
    <s v="Ķekavas autobusu,mikroautobusu galapietura pie ēkas Gaismas ielā 21"/>
    <n v="80700081231"/>
    <s v="Pašvaldība"/>
    <s v="Esoša publiskā ārtelpa"/>
    <m/>
    <m/>
    <s v="Publiskās apbūves teritorija"/>
    <s v="Augsts"/>
    <s v="Zems"/>
    <s v="Zems"/>
    <s v="Zems"/>
    <s v="Nepieciešama laukuma rekonstrukcija un funkcionālā zonējuma izmaiņas - gājēju zona, sabiedriskā transporta uzgaidīšanas zona, autobusu apstāšanās laukums, apstādījumu zona"/>
    <s v="Lietišķās atpūtas vieta (L)_x000a_Sabiedirskā transporta galapunkts"/>
    <s v="Sabiedriskā transporta galapunkts (L)"/>
    <n v="1"/>
    <s v="gab."/>
    <n v="13080"/>
    <n v="13080"/>
    <n v="400"/>
    <n v="0.5"/>
    <n v="40"/>
    <n v="96000"/>
    <n v="192000"/>
    <n v="0.13625000000000001"/>
    <n v="6.8125000000000005E-2"/>
    <n v="1"/>
  </r>
  <r>
    <s v="K21-1"/>
    <x v="24"/>
    <s v="Ķekava"/>
    <s v="Ķekavas Ambulances priekšlaukums, Gaismas iela 15"/>
    <n v="80700081741"/>
    <s v="Pašvaldība"/>
    <s v="Esoša publiskā ārtelpa"/>
    <m/>
    <m/>
    <s v="Publiskās apbūves teritorija"/>
    <s v="Augsts"/>
    <s v="Zems"/>
    <s v="Zems"/>
    <s v="Zems"/>
    <s v="Iezīmēt ambulances ieejas zonu, lietišķās atpūtas vieta (S tips) pie ieejas."/>
    <s v="Lietišķās atpūtas vieta (S)"/>
    <s v="Lietišķās atpūtas vieta (S)"/>
    <n v="1"/>
    <s v="gab."/>
    <n v="2765"/>
    <n v="2765"/>
    <n v="3600"/>
    <n v="0.05"/>
    <n v="15"/>
    <n v="32400"/>
    <n v="648000"/>
    <n v="8.5339506172839502E-2"/>
    <n v="4.2669753086419749E-3"/>
    <n v="1"/>
  </r>
  <r>
    <s v="R1"/>
    <x v="25"/>
    <s v="Alejas"/>
    <s v="Tilts pāri Titurgas upei starp zemes gabaliem Akmeņkaļu ielā 17 un Akmeņkaļu ielā 11, Alejās"/>
    <s v="80700081305 (tikai tilta posms starp 80700080311 un 80700080310)"/>
    <s v="Pašvaldība"/>
    <s v="Esoša publiskā ārtelpa"/>
    <m/>
    <m/>
    <s v="Dabas un apstādījumu teritorija (Parks, Skvērs, Mežaparks)"/>
    <s v="Zems"/>
    <s v="Zems"/>
    <s v="Zems"/>
    <s v="Vidējs"/>
    <s v="Lietišķās atpūtas vieta (L tipa) pie atpūtas vietas ar skatu uz Titurgas upi."/>
    <s v="Lietišķās atpūtas vieta (L)"/>
    <s v="Lietišķās atpūtas vieta (L)"/>
    <n v="1"/>
    <s v="gab."/>
    <n v="7160"/>
    <n v="7160"/>
    <n v="300"/>
    <n v="0.01"/>
    <n v="15"/>
    <n v="540"/>
    <n v="54000"/>
    <n v="13.25925925925926"/>
    <n v="0.1325925925925926"/>
    <n v="7"/>
  </r>
  <r>
    <s v="K19-1"/>
    <x v="26"/>
    <s v="Odukalns"/>
    <s v="Odukalns ūdenstornis, ``Odiņš``, Odukalns, Ķekavas pag., Ķekavas nov.,"/>
    <n v="80700081136"/>
    <s v="Pašvaldība"/>
    <s v="Potenciāla publiskā ārtelpa"/>
    <m/>
    <m/>
    <s v="Dabas un apstādījumu teritorija (Parks, Skvērs, Mežaparks)     "/>
    <s v="Vidējs"/>
    <s v="Zems"/>
    <s v="Augsts"/>
    <s v="Vidējs"/>
    <s v="Ūdens torņa vizuālā stāvokļa uzturēšana/uzlabošana. Pasīvās atpūtas vietas labiekārtošana."/>
    <s v="Ūdens torņa vizuālā stāvokļa uzturēšana/uzlabošana. Pasīvās atpūtas vietas labiekārtošana."/>
    <s v="Turpmākajā plānošanas procesā veicamie darbi"/>
    <n v="2000"/>
    <s v="gab."/>
    <n v="0"/>
    <n v="10000"/>
    <n v="50000"/>
    <n v="0.01"/>
    <n v="15"/>
    <n v="90000"/>
    <n v="9000000"/>
    <n v="0.1111111111111111"/>
    <n v="1.1111111111111111E-3"/>
    <n v="1"/>
  </r>
  <r>
    <s v="K19-2"/>
    <x v="27"/>
    <s v="Odukalns"/>
    <s v="Odukalns ūdenstornis, ``Odiņš``, Odukalns, Ķekavas pag., Ķekavas nov.,"/>
    <n v="80700081136"/>
    <s v="Pašvaldība"/>
    <s v="Potenciāla publiskā ārtelpa"/>
    <m/>
    <m/>
    <s v="Dabas un apstādījumu teritorija (Parks, Skvērs, Mežaparks)     "/>
    <s v="Vidējs"/>
    <s v="Zems"/>
    <s v="Augsts"/>
    <s v="Vidējs"/>
    <s v="Odukalna torņa un apkārtējās teritorijas pārbūve "/>
    <s v="Objekta pārbūve (Odukalna ūdenstornis) un apkārtējā teritorija "/>
    <s v="Objekta pārbūve (Odukalna ūdenstornis) un apkārtējā teritorija "/>
    <n v="50000"/>
    <s v="gab."/>
    <n v="0"/>
    <n v="10000"/>
    <n v="500"/>
    <n v="0.5"/>
    <n v="10"/>
    <n v="30000"/>
    <n v="60000"/>
    <n v="0.33333333333333331"/>
    <n v="0.16666666666666666"/>
    <n v="7"/>
  </r>
  <r>
    <s v="K13"/>
    <x v="28"/>
    <s v="Ķekava"/>
    <s v="Mols pie Daugavas, Zvejnieku iela 8"/>
    <n v="80700081875"/>
    <s v="Pašvaldība"/>
    <s v="Potenciāla publiskā ārtelpa"/>
    <m/>
    <m/>
    <s v="Dabas un apstādījumu teritorija (Parks, Skvērs, Mežaparks), Atpūtas vieta pie ūdens"/>
    <s v="Zems"/>
    <s v="Zems"/>
    <s v="Vidējs"/>
    <s v="Vidējs"/>
    <s v="Gājēju ceļu izbūve, pieejamības uzlabošana.Savienojumi ar citām rekreācijas teritorijām"/>
    <s v="Transporta infrastruktūra - kājāmgājēju infrastruktūras pilnveidošana"/>
    <s v="Transporta infrastruktūra - kājāmgājēju infrastruktūras pilnveidošana (bruģis)"/>
    <n v="8800"/>
    <s v="m2"/>
    <n v="55"/>
    <n v="484000"/>
    <n v="200"/>
    <n v="1"/>
    <n v="1"/>
    <n v="2400"/>
    <n v="2400"/>
    <n v="201.66666666666666"/>
    <n v="201.66666666666666"/>
    <n v="7"/>
  </r>
  <r>
    <s v="K13"/>
    <x v="29"/>
    <s v="Ķekava"/>
    <s v="Mols pie Daugavas, Zvejnieku iela 8"/>
    <n v="80700081875"/>
    <s v="Pašvaldība"/>
    <s v="Potenciāla publiskā ārtelpa"/>
    <m/>
    <m/>
    <s v="Dabas un apstādījumu teritorija (Parks, Skvērs, Mežaparks), Atpūtas vieta pie ūdens"/>
    <s v="Zems"/>
    <s v="Zems"/>
    <s v="Vidējs"/>
    <s v="Vidējs"/>
    <s v="Gājēju ceļu izbūve, pieejamības uzlabošana.Savienojumi ar citām rekreācijas teritorijām"/>
    <s v="Norāžu izvietošana"/>
    <s v="Norāžu izvietošana"/>
    <n v="2"/>
    <s v="gab."/>
    <n v="90"/>
    <n v="180"/>
    <n v="200"/>
    <n v="0.01"/>
    <n v="1"/>
    <n v="24"/>
    <n v="2400"/>
    <n v="7.5"/>
    <n v="7.4999999999999997E-2"/>
    <n v="7"/>
  </r>
  <r>
    <s v="K7"/>
    <x v="30"/>
    <s v="Ķekava"/>
    <s v="Ķekavas upes ieteka, Ķekavas parks, Rīgas iela 71A,"/>
    <n v="80700083309"/>
    <s v="Pašvaldība"/>
    <s v="Potenciāla publiskā ārtelpa"/>
    <s v="Izveidots grilparks tuvāk pie A7 pie Ķekavas upes izbūvēts parks. Tuvāk pie Daugavas izvestas smiltis, nolīdzināts izbūvēta viena ģērbtuve. Vajadzīga upes tīrīšana. "/>
    <m/>
    <s v="Dabas un apstādījumu teritorija (Parks, Skvērs, Mežaparks)"/>
    <s v="Zems"/>
    <s v="Zems"/>
    <s v="Vidējs"/>
    <s v="Zems"/>
    <s v="Gājēju ceļu izbūve, veidojot savienojumus ar citām rekreācijas teritorijām. Stāvlaukums "/>
    <s v="Transporta infrastruktūra - kājāmgājēju infrastruktūras izveide"/>
    <s v="Transporta infrastruktūra - kājāmgājēju infrastruktūras pilnveidošana (bruģis)"/>
    <n v="500"/>
    <s v="m2"/>
    <n v="55"/>
    <n v="27500"/>
    <n v="2500"/>
    <n v="0.5"/>
    <n v="4"/>
    <n v="60000"/>
    <n v="120000"/>
    <n v="0.45833333333333331"/>
    <n v="0.22916666666666666"/>
    <n v="3"/>
  </r>
  <r>
    <s v="K7"/>
    <x v="31"/>
    <s v="Ķekava"/>
    <s v="Ķekavas upes ieteka, Ķekavas parks, Rīgas iela 71A,"/>
    <n v="80700083309"/>
    <s v="Pašvaldība"/>
    <s v="Potenciāla publiskā ārtelpa"/>
    <s v="Projektēšana 2023.gadā Ķekavas parkam un Grilparka savienojumam. Izbūve 2024."/>
    <m/>
    <s v="Dabas un apstādījumu teritorija (Parks, Skvērs, Mežaparks)"/>
    <s v="Zems"/>
    <s v="Zems"/>
    <s v="Vidējs"/>
    <s v="Zems"/>
    <s v="Gājēju ceļu izbūve, veidojot savienojumus ar citām rekreācijas teritorijām"/>
    <s v="Transporta infrastruktūra - kājāmgājēju infrastruktūras izveide"/>
    <s v="Transporta infrastruktūra - kājāmgājēju infrastruktūras pilnveidošana (bruģis)"/>
    <n v="200"/>
    <s v="m2"/>
    <n v="55"/>
    <n v="11000"/>
    <n v="2500"/>
    <n v="0.5"/>
    <n v="8"/>
    <n v="120000"/>
    <n v="240000"/>
    <n v="9.166666666666666E-2"/>
    <n v="4.583333333333333E-2"/>
    <n v="1"/>
  </r>
  <r>
    <s v="K7"/>
    <x v="32"/>
    <s v="Ķekava"/>
    <s v="Ķekavas upes ieteka, Ķekavas parks, Rīgas iela 71A,"/>
    <n v="80700083310"/>
    <s v="Pašvaldība"/>
    <s v="Potenciāla publiskā ārtelpa"/>
    <m/>
    <m/>
    <m/>
    <m/>
    <m/>
    <m/>
    <m/>
    <s v="Laivu nolaišanas vietas izbūve"/>
    <s v="Laivu nolaišanas vietas ūdenī izbūve"/>
    <s v="Laivu nolaišanas vietas ūdenī izbūve"/>
    <n v="1"/>
    <s v="gab."/>
    <n v="15000"/>
    <n v="15000"/>
    <n v="500"/>
    <n v="0.5"/>
    <n v="8"/>
    <n v="24000"/>
    <n v="48000"/>
    <n v="0.625"/>
    <n v="0.3125"/>
    <n v="3"/>
  </r>
  <r>
    <s v="K7"/>
    <x v="33"/>
    <s v="Ķekava"/>
    <s v="Ķekavas upes ieteka, Ūdens porta veidu centra stāvlaukums Ķekavas parks, Rīgas iela 71A,"/>
    <n v="80700083309"/>
    <s v="Pašvaldība"/>
    <s v="Potenciāla publiskā ārtelpa"/>
    <m/>
    <m/>
    <m/>
    <m/>
    <m/>
    <m/>
    <m/>
    <s v="Stāvlaukuma izbūve"/>
    <s v="Stāvlaukums"/>
    <s v="Stāvlaukums"/>
    <n v="2500"/>
    <s v="m2"/>
    <n v="60"/>
    <n v="150000"/>
    <n v="150"/>
    <n v="1"/>
    <n v="8"/>
    <n v="14400"/>
    <n v="14400"/>
    <n v="10.416666666666666"/>
    <n v="10.416666666666666"/>
    <n v="2"/>
  </r>
  <r>
    <s v="K22"/>
    <x v="34"/>
    <s v="Ķekava"/>
    <s v="Gājēju iela svētku laikā - Skolas iela"/>
    <n v="80700081313"/>
    <s v="Pašvaldība"/>
    <s v="Potenciāla publiskā ārtelpa"/>
    <s v="Gājēju iela tiek organizēta  pēc nepieciešamības. Tiek organizēta ielu tirzniecība (tirdziņš) "/>
    <s v="Final"/>
    <s v="Transporta infrastuktūra (Gājēju un velosipēdu infrasturktūra),  Lietišķās atpūtas vietas"/>
    <m/>
    <m/>
    <m/>
    <m/>
    <s v="Esošā autoceļa pārveidošana par gājēju ielu, savienojot Ābeļdārza teritoriju ar JIC un Ķekavas parku."/>
    <s v="Transporta infrastruktūra - kājāmgājēju infrastruktūras izveide"/>
    <s v="Transporta infrastruktūra - kājāmgājēju infrastruktūras pilnveidošana (bruģis)"/>
    <n v="3700"/>
    <s v="m2"/>
    <n v="55"/>
    <m/>
    <n v="6000"/>
    <n v="0.15"/>
    <n v="20"/>
    <n v="216000"/>
    <n v="1440000"/>
    <n v="0"/>
    <n v="0"/>
    <n v="2"/>
  </r>
  <r>
    <s v="K22"/>
    <x v="35"/>
    <s v="Ķekava"/>
    <s v="Gājēju iela svētku laikā - Skolas iela"/>
    <n v="80700081313"/>
    <s v="Pašvaldība"/>
    <s v="Potenciāla publiskā ārtelpa"/>
    <s v="Gājēju iela tiek organizēta  pēc nepieciešamības. Tiek organizēta ielu tirzniecība (tirdziņš) "/>
    <s v="Final"/>
    <s v="Transporta infrastuktūra( Gājēju un velosipēdu infrasturktūra),  Lietišķās atpūtas vietas"/>
    <m/>
    <m/>
    <m/>
    <m/>
    <s v="Esošā autoceļa pārveidošana par gājēju ielu, savienojot Ābeļdārza teritoriju ar JIC un Ķekavas parku."/>
    <s v="Lietišķās atpūtas vieta"/>
    <s v="Lietišķās atpūtas vieta (S)"/>
    <n v="1"/>
    <s v="gab."/>
    <n v="2765"/>
    <m/>
    <n v="6000"/>
    <n v="0.15"/>
    <n v="10"/>
    <n v="108000"/>
    <n v="720000"/>
    <n v="0"/>
    <n v="0"/>
    <n v="2"/>
  </r>
  <r>
    <s v="K23"/>
    <x v="36"/>
    <s v="Ķekava"/>
    <s v="Gājēju ietve no Ķekavas uz Odukalna pieturu gar valsts autoceļu A7 (Rīga- Bauska- Lietuvas robeža)"/>
    <n v="80700081673"/>
    <s v="Valsts"/>
    <s v="Potenciāla publiskā ārtelpa"/>
    <s v="Realizēts"/>
    <s v="Final"/>
    <s v="Transporta infrastruktūra (Gājēju un velosipēdu infrastruktūra)"/>
    <m/>
    <m/>
    <m/>
    <m/>
    <s v="Apgaismotas  ietves izbūve no Ķekavas sabiedriskā transporta pieturas līdz Odukalna sabiedriskā transporta pieturai (līdz gājēju pārejai)"/>
    <s v="Transporta infrastruktūra - kājāmgājēju infrastruktūras izveide"/>
    <s v="Transporta infrastruktūra - kājāmgājēju infrastruktūras pilnveidošana (bruģis)"/>
    <n v="1200"/>
    <s v="m2"/>
    <n v="55"/>
    <m/>
    <n v="1000"/>
    <n v="0.15"/>
    <n v="20"/>
    <n v="36000"/>
    <n v="240000"/>
    <n v="0"/>
    <n v="0"/>
    <n v="2"/>
  </r>
  <r>
    <s v="K24"/>
    <x v="37"/>
    <s v="Ķekava"/>
    <s v="Gājēju ietve - Ziemeļu iela"/>
    <n v="80700083335"/>
    <s v="Pašvaldība"/>
    <s v="Potenciāla publiskā ārtelpa"/>
    <s v="No Gaismas ielas līdz Ziemeļu ielai notiek ietves būvniecība (gar Brīvības ielu). Būvniecība 2023. "/>
    <s v="Final"/>
    <s v="Transporta infrastuktūra (Gājēju un velosipēdu infrasturktūra),  Lietišķās atpūtas vietas"/>
    <m/>
    <m/>
    <m/>
    <m/>
    <s v="Apgaismotas ietves izbūve no A7 līdz putnu fabrikai (savienojums  ar plānoto  gājēju un velosipēdu ceļu). Izvietot lietišķās atpūtas vietas (S tips)."/>
    <s v="Transporta infrastruktūra - kājāmgājēju infrastruktūras izveide"/>
    <s v="Transporta infrastruktūra - kājāmgājēju infrastruktūras pilnveidošana (bruģis)"/>
    <n v="41400"/>
    <s v="m2"/>
    <n v="55"/>
    <m/>
    <n v="1000"/>
    <n v="0.25"/>
    <n v="20"/>
    <n v="60000"/>
    <n v="240000"/>
    <n v="0"/>
    <n v="0"/>
    <n v="7"/>
  </r>
  <r>
    <s v="K24"/>
    <x v="38"/>
    <s v="Ķekava"/>
    <s v="Gājēju ietve - Ziemeļu iela"/>
    <n v="80700083335"/>
    <s v="Pašvaldība"/>
    <s v="Potenciāla publiskā ārtelpa"/>
    <s v="Projektēšana 2023.gadā. Soli un apgaisme līdz A5 "/>
    <m/>
    <s v="Transporta infrastuktūra (Gājēju un velosipēdu infrasturktūra),  Lietišķās atpūtas vietas"/>
    <m/>
    <m/>
    <m/>
    <m/>
    <s v="Apgaismotas ietves izbūve no A7 līdz putnu fabrikai (savienojums  ar plānoto  gājēju un velosipēdu ceļu). Izvietot lietišķās atpūtas vietas."/>
    <s v="Transporta infrastruktūra - kājāmgājēju infrastruktūras izveide"/>
    <s v="Lietišķās atpūtas vieta (S)"/>
    <n v="3"/>
    <s v="gab."/>
    <n v="2765"/>
    <n v="8295"/>
    <n v="1000"/>
    <n v="0.16"/>
    <n v="10"/>
    <n v="19200"/>
    <n v="120000"/>
    <n v="0.43203124999999998"/>
    <n v="6.9125000000000006E-2"/>
    <n v="7"/>
  </r>
  <r>
    <s v="K25"/>
    <x v="39"/>
    <s v="Ķekava"/>
    <s v="Gājēju ietve - Mazā senču iela,  Atmodas iela, "/>
    <s v="80700081311,_x000a_80700082675"/>
    <s v="Pašvaldība"/>
    <s v="Potenciāla publiskā ārtelpa"/>
    <m/>
    <m/>
    <s v="Transporta infrastuktūra( Gājēju un velosipēdu infrasturktūra),  Lietišķās atpūtas vietas"/>
    <m/>
    <m/>
    <m/>
    <m/>
    <s v="Apgaismotas ietves izbūve no Ziemeļu ielas līdz Pliederu ielai. Izvietot lietišķās atpūtas vietas (S tips)."/>
    <s v="Transporta infrastruktūra - kājāmgājēju infrastruktūras izveide"/>
    <s v="Transporta infrastruktūra - kājāmgājēju infrastruktūras pilnveidošana (bruģis)"/>
    <n v="14800"/>
    <s v="m2"/>
    <n v="55"/>
    <n v="814000"/>
    <n v="600"/>
    <n v="0.25"/>
    <n v="30"/>
    <n v="54000"/>
    <n v="216000"/>
    <n v="15.074074074074074"/>
    <n v="3.7685185185185186"/>
    <n v="3"/>
  </r>
  <r>
    <s v="K25"/>
    <x v="40"/>
    <s v="Ķekava"/>
    <s v="Gājēju ietve - Mazā senču iela,  Atmodas iela, "/>
    <s v="80700081311,_x000a_80700082675"/>
    <s v="Pašvaldība"/>
    <s v="Potenciāla publiskā ārtelpa"/>
    <m/>
    <m/>
    <s v="Transporta infrastuktūra( Gājēju un velosipēdu infrasturktūra),  Lietišķās atpūtas vietas"/>
    <m/>
    <m/>
    <m/>
    <m/>
    <s v="Apgaismotas ietves izbūve no Ziemeļu ielas līdz Pliederu ielai. Izvietot lietišķās atpūtas vietas (S tips)."/>
    <s v="Lietišķās atpūtas vieta (S)"/>
    <s v="Lietišķās atpūtas vieta (S)"/>
    <n v="4"/>
    <s v="gab."/>
    <n v="2765"/>
    <n v="11060"/>
    <n v="600"/>
    <n v="0.15"/>
    <n v="10"/>
    <n v="10800"/>
    <n v="72000"/>
    <n v="1.0240740740740741"/>
    <n v="0.15361111111111111"/>
    <n v="3"/>
  </r>
  <r>
    <s v="K26"/>
    <x v="41"/>
    <s v="Ķekava"/>
    <s v="Pliederu ielas lietišķais labiekārtojums"/>
    <n v="80700081310"/>
    <s v="Pašvaldība"/>
    <s v="Potenciāla publiskā ārtelpa"/>
    <s v="Izveidots gājēju ceļš"/>
    <m/>
    <s v=" Lietišķās atpūtas vietas"/>
    <m/>
    <m/>
    <m/>
    <m/>
    <s v="Izvietot lietišķās atpūtas vietas (S tips)."/>
    <s v="Lietišķās atpūtas vieta (S)"/>
    <s v="Lietišķās atpūtas vieta (S)"/>
    <n v="4"/>
    <s v="gab."/>
    <n v="2765"/>
    <n v="11060"/>
    <n v="700"/>
    <n v="0.25"/>
    <n v="30"/>
    <n v="63000"/>
    <n v="252000"/>
    <n v="0.17555555555555555"/>
    <n v="4.3888888888888887E-2"/>
    <n v="1"/>
  </r>
  <r>
    <s v="K27"/>
    <x v="42"/>
    <s v="Ķekava"/>
    <s v="Nākotnes ielas gājēju un velosipēdistu infrastruktūra"/>
    <n v="80700081314"/>
    <s v="Pašvaldība"/>
    <s v="Potenciāla publiskā ārtelpa"/>
    <m/>
    <m/>
    <s v="Transporta infrastruktūra (Gājēju un velosipēdu infrastruktūra)"/>
    <m/>
    <m/>
    <m/>
    <m/>
    <s v="Apgaismota  gājēju ietve no Kanāla ielas līdz Jaunie Ķekavas kapi "/>
    <s v="Transporta infrastruktūra - kājāmgājēju infrastruktūras izveide"/>
    <s v="Transporta infrastruktūra - kājāmgājēju infrastruktūras pilnveidošana (bruģis)"/>
    <n v="10000"/>
    <s v="m2"/>
    <n v="55"/>
    <n v="550000"/>
    <n v="6000"/>
    <n v="0.3"/>
    <n v="30"/>
    <n v="648000"/>
    <n v="2160000"/>
    <n v="0.84876543209876543"/>
    <n v="0.25462962962962965"/>
    <n v="7"/>
  </r>
  <r>
    <s v="K28"/>
    <x v="43"/>
    <s v="Ķekava"/>
    <s v="Nākotnes ielas lietišķais labiekārtojums"/>
    <n v="80700081314"/>
    <s v="Pašvaldība"/>
    <s v="Potenciāla publiskā ārtelpa"/>
    <m/>
    <m/>
    <s v=" Lietišķās atpūtas vietas"/>
    <m/>
    <m/>
    <m/>
    <m/>
    <s v="Izvietot lietišķās atpūtas vietas (S/M tips) Nākotnes ielas garumā līdz Jaunie Ķekavas kapi (80700110113)."/>
    <s v="Lietišķās atpūtas vieta (S/M)"/>
    <s v="Lietišķās atpūtas vieta (S)"/>
    <n v="8"/>
    <s v="gab."/>
    <n v="2765"/>
    <n v="22120"/>
    <n v="6000"/>
    <n v="0.15"/>
    <n v="30"/>
    <n v="324000"/>
    <n v="2160000"/>
    <n v="6.8271604938271599E-2"/>
    <n v="1.0240740740740741E-2"/>
    <n v="1"/>
  </r>
  <r>
    <s v="K29"/>
    <x v="44"/>
    <s v="Odukalns"/>
    <s v="Pļavu ielas gājēju infrastruktūra"/>
    <n v="80700081318"/>
    <s v="Pašvaldība"/>
    <s v="Potenciāla publiskā ārtelpa"/>
    <m/>
    <m/>
    <s v="Transporta infrastuktūra( Gājēju un velosipēdu infrasturktūra),  Lietišķās atpūtas vietas"/>
    <m/>
    <m/>
    <m/>
    <m/>
    <s v="Ietves izbūve no  A7 līdz  Rīgas HES. Izvietot lietišķās atpūtas vietas (S tips)."/>
    <s v="Transporta infrastruktūra - kājāmgājēju infrastruktūras izveide"/>
    <s v="Transporta infrastruktūra - kājāmgājēju infrastruktūras pilnveidošana (bruģis)"/>
    <n v="20000"/>
    <s v="m2"/>
    <n v="55"/>
    <n v="1100000"/>
    <n v="600"/>
    <n v="1"/>
    <n v="15"/>
    <n v="108000"/>
    <n v="108000"/>
    <n v="10.185185185185185"/>
    <n v="10.185185185185185"/>
    <n v="7"/>
  </r>
  <r>
    <s v="K29"/>
    <x v="45"/>
    <s v="Odukalns"/>
    <s v="Pļavu ielas lietišķais labiekārtojums"/>
    <n v="80700081318"/>
    <s v="Pašvaldība"/>
    <s v="Potenciāla publiskā ārtelpa"/>
    <m/>
    <m/>
    <s v="Transporta infrastuktūra( Gājēju un velosipēdu infrasturktūra),  Lietišķās atpūtas vietas"/>
    <m/>
    <m/>
    <m/>
    <m/>
    <s v="Ietves izbūve no  A7 līdz  Rīgas HES. Izvietot lietišķās atpūtas vietas (S tips)."/>
    <s v="Lietišķās atpūtas vieta (S)"/>
    <s v="Lietišķās atpūtas vieta (S)"/>
    <n v="4"/>
    <s v="gab."/>
    <n v="2765"/>
    <n v="11060"/>
    <n v="600"/>
    <n v="0.15"/>
    <n v="15"/>
    <n v="16200"/>
    <n v="108000"/>
    <n v="0.68271604938271602"/>
    <n v="0.10240740740740741"/>
    <n v="7"/>
  </r>
  <r>
    <s v="K30"/>
    <x v="46"/>
    <s v="Ķekava"/>
    <s v="Sabiedriskā transporta pietura &quot;Ķekava&quot; pie autoceļa A7"/>
    <n v="80700081673"/>
    <s v="Valsts"/>
    <s v="Potenciāla publiskā ārtelpa"/>
    <m/>
    <m/>
    <s v="Sabiedriskā  transporta pieturas"/>
    <m/>
    <m/>
    <m/>
    <m/>
    <s v="Veikt pieturas pārbūvi, veidojot kā L tipa sabiedriskā transporta pieturu."/>
    <s v="Lietišķās atpūtas vieta (L)"/>
    <s v="Lietišķās atpūtas vieta (L)"/>
    <n v="2"/>
    <s v="gab."/>
    <n v="7160"/>
    <n v="14320"/>
    <n v="6000"/>
    <n v="0.25"/>
    <n v="20"/>
    <n v="360000"/>
    <n v="1440000"/>
    <n v="3.977777777777778E-2"/>
    <n v="9.944444444444445E-3"/>
    <n v="1"/>
  </r>
  <r>
    <s v="K31"/>
    <x v="47"/>
    <s v="Ķekava"/>
    <s v="Sabiedriskā transporta galapietura &quot;Ķekavas pilsēta&quot; pie Gaismas ielas 21"/>
    <n v="80700081231"/>
    <s v="Pašvaldība"/>
    <s v="Potenciāla publiskā ārtelpa"/>
    <s v="Rīgas plānošanas reģiona mobilitātes izpēte. Paredzēts kā Reģionālais mobilitātes punkts.  Finansējums no pašvaldības. Kāda ir prioritāte?  "/>
    <m/>
    <s v="Sabiedriskā  transporta pieturas"/>
    <m/>
    <m/>
    <m/>
    <m/>
    <s v="Veikt pieturas pārbūvi, veidojot kā L tipa sabiedriskā transporta pieturu."/>
    <s v="Lietišķās atpūtas vieta (L)"/>
    <s v="Lietišķās atpūtas vieta (L)"/>
    <n v="1"/>
    <s v="gab."/>
    <n v="7160"/>
    <n v="7160"/>
    <n v="6000"/>
    <n v="0.5"/>
    <n v="20"/>
    <n v="720000"/>
    <n v="1440000"/>
    <n v="9.944444444444445E-3"/>
    <n v="4.9722222222222225E-3"/>
    <n v="1"/>
  </r>
  <r>
    <s v="K32"/>
    <x v="48"/>
    <s v="Ķekava"/>
    <s v="Dārznieku ielas gājēju un velosipēdistu infrastruktūra"/>
    <n v="80700081312"/>
    <s v="Pašvaldība"/>
    <s v="Potenciāla publiskā ārtelpa"/>
    <m/>
    <m/>
    <s v="Transporta infrastuktūra( Gājēju un velosipēdu infrasturktūra),  Lietišķās atpūtas vietas"/>
    <m/>
    <m/>
    <m/>
    <m/>
    <s v="Apgaismotas ietves izbūve A7 līdz īpašumam Dārznieku iela 30 (80700083112)"/>
    <s v="Transporta infrastruktūra - kājāmgājēju infrastruktūras izveide"/>
    <s v="Transporta infrastruktūra - kājāmgājēju infrastruktūras pilnveidošana (bruģis)"/>
    <n v="6700"/>
    <s v="m2"/>
    <n v="55"/>
    <n v="368500"/>
    <n v="2000"/>
    <n v="1"/>
    <n v="2"/>
    <n v="48000"/>
    <n v="48000"/>
    <n v="7.677083333333333"/>
    <n v="7.677083333333333"/>
    <n v="7"/>
  </r>
  <r>
    <s v="K33"/>
    <x v="49"/>
    <s v="Ķekava"/>
    <s v="Gaismas ielas lietišķais labiekārtojums"/>
    <n v="80700081356"/>
    <s v="Valsts"/>
    <s v="Potenciāla publiskā ārtelpa"/>
    <m/>
    <m/>
    <s v="Lietišķās atpūtas vietas"/>
    <m/>
    <m/>
    <m/>
    <m/>
    <s v="Izvietot lietišķās atpūtas vietas (S tips)."/>
    <s v="Lietišķās atpūtas vieta (S)"/>
    <s v="Lietišķās atpūtas vieta (S)"/>
    <n v="2"/>
    <s v="gab."/>
    <n v="2765"/>
    <n v="5530"/>
    <n v="6000"/>
    <n v="0.15"/>
    <n v="20"/>
    <n v="216000"/>
    <n v="1440000"/>
    <n v="2.5601851851851851E-2"/>
    <n v="3.840277777777778E-3"/>
    <n v="1"/>
  </r>
  <r>
    <s v="K34"/>
    <x v="50"/>
    <s v="Alejas"/>
    <s v="Akotu ielas gājēju un velosipēdu infrasturktūra"/>
    <n v="80700080932001"/>
    <s v="Pašvaldība"/>
    <s v="Potenciāla publiskā ārtelpa"/>
    <m/>
    <m/>
    <s v="Transporta infrastuktūra( Gājēju un velosipēdu infrasturktūra),  Lietišķās atpūtas vietas"/>
    <m/>
    <m/>
    <m/>
    <m/>
    <s v="Apgaismotas gājēju ietves izbūve (dzīvojamās zonas, gājēju prioritārās zonas noteikšana) no A7- tilts pāri Titurgas upei - Pļavniekkalna iela. Lietišķās atpūtas vietu izvietošana (S tips)."/>
    <s v="Transporta infrastruktūra - kājāmgājēju infrastruktūras izveide"/>
    <s v="Transporta infrastruktūra - kājāmgājēju infrastruktūras pilnveidošana (bruģis)"/>
    <n v="7100"/>
    <s v="m2"/>
    <n v="55"/>
    <n v="390500"/>
    <n v="1000"/>
    <n v="0.5"/>
    <n v="15"/>
    <n v="90000"/>
    <n v="180000"/>
    <n v="4.3388888888888886"/>
    <n v="2.1694444444444443"/>
    <n v="2"/>
  </r>
  <r>
    <s v="K34"/>
    <x v="51"/>
    <s v="Alejas"/>
    <s v="Akotu ielas gājēju un velosipēdu infrasturktūra"/>
    <n v="80700080932001"/>
    <s v="Pašvaldība"/>
    <s v="Potenciāla publiskā ārtelpa"/>
    <m/>
    <m/>
    <s v="Transporta infrastuktūra( Gājēju un velosipēdu infrasturktūra),  Lietišķās atpūtas vietas"/>
    <m/>
    <m/>
    <m/>
    <m/>
    <s v="Apgaismotas gājēju ietves izbūve (dzīvojamās zonas, gājēju prioritārās zonas noteikšana) no A7- tilts pāri Titurgas upei - Pļavniekkalna iela. Lietišķās atpūtas vietu izvietošana (S tips)."/>
    <s v="Lietišķās atpūtas vieta (S)"/>
    <s v="Lietišķās atpūtas vieta (S)"/>
    <n v="4"/>
    <s v="gab."/>
    <n v="2765"/>
    <n v="11060"/>
    <n v="1000"/>
    <n v="0.15"/>
    <n v="15"/>
    <n v="27000"/>
    <n v="180000"/>
    <n v="0.40962962962962962"/>
    <n v="6.1444444444444447E-2"/>
    <n v="2"/>
  </r>
  <r>
    <s v="K35"/>
    <x v="52"/>
    <s v="Ķekava"/>
    <s v="Lietišķās atpūtas vietas gar A7 posmā no Krustkalniem līdz Odukalnam"/>
    <n v="80700083908"/>
    <s v="Valsts"/>
    <s v="Potenciāla publiskā ārtelpa"/>
    <s v="Pie veloceļa izbūves izveidotas atpūtas - vietas soliņi, velostatīvi,miskastes._x000a_Pie Mežmalas ielas būs tunelis A7 rekonstrkcijas ietvaros. Reknstrukcija no Rīgas robežas līdz gājēju tunelim ir pirmsprojketa izpēte. Nav zināms pa kuru pusi un kurš maksā _x000a_Veloceļš daļēji izbūvēt un būs realizēts Ķeķavas apvecdeļa ietvaros. No Krogsila līdz Ķekavai jau ir no Pļavniekkalna ielas pagrieziena līdz Gaismas iela Ķekavā gatavs _x000a_"/>
    <m/>
    <s v="Lietišķās atpūtas vietas"/>
    <m/>
    <m/>
    <m/>
    <m/>
    <s v="Papildināt A7 šosejas malas ar lietišķās atpūtas vietām (s tipa)"/>
    <s v="Lietišķās atpūtas vieta (S)"/>
    <s v="Lietišķās atpūtas vieta (S)"/>
    <n v="7"/>
    <s v="gab."/>
    <n v="2765"/>
    <n v="19355"/>
    <n v="500"/>
    <n v="0.15"/>
    <n v="15"/>
    <n v="13500"/>
    <n v="90000"/>
    <n v="1.4337037037037037"/>
    <n v="5.5555555555555558E-3"/>
    <n v="1"/>
  </r>
  <r>
    <s v="K35"/>
    <x v="53"/>
    <s v="Ķekava"/>
    <s v="No Plavniekkalna ielas pieturas līdz Naudītes ielai"/>
    <s v="-"/>
    <s v="-"/>
    <s v="Potenciāla publiskā ārtelpa"/>
    <s v="Ir izstrādāts būvprojekts. Būvniecība 2023.gads."/>
    <m/>
    <s v="Transporta infrastuktūra (Gājēju un velosipēdu infrasturktūra),  Lietišķās atpūtas vietas"/>
    <m/>
    <m/>
    <m/>
    <m/>
    <s v="Papildināt A7 šosejas malas ar lietišķās atpūtas vietām (s tipa)"/>
    <s v="Lietišķās atpūtas vieta (S)"/>
    <s v="Lietišķās atpūtas vieta (S)"/>
    <n v="4"/>
    <s v="gab."/>
    <n v="2765"/>
    <n v="11060"/>
    <n v="1000"/>
    <n v="0.3"/>
    <n v="15"/>
    <n v="54000"/>
    <n v="180000"/>
    <n v="0.20481481481481481"/>
    <n v="5.5555555555555558E-3"/>
    <n v="2"/>
  </r>
  <r>
    <s v="K50"/>
    <x v="54"/>
    <s v="Vimbukrogs"/>
    <s v="Sausās Daugavas dabas parks "/>
    <n v="80700083309"/>
    <s v="Pašvaldība"/>
    <s v="Potenciāla publiskā ārtelpa"/>
    <m/>
    <m/>
    <s v="Dabas un apstādījumu teritorija (Skvērs, Parks, Mežaparks)"/>
    <m/>
    <m/>
    <m/>
    <m/>
    <s v="Izveidot Daugavā  dabas takas"/>
    <s v="Parks. Laipas. 12ha. 2km lapas uz pāļiem"/>
    <s v="Parks "/>
    <n v="2000"/>
    <s v="m2"/>
    <n v="250"/>
    <n v="500000"/>
    <n v="400"/>
    <n v="1"/>
    <n v="15"/>
    <n v="72000"/>
    <n v="72000"/>
    <n v="6.9444444444444446"/>
    <n v="5.5555555555555558E-3"/>
    <n v="7"/>
  </r>
  <r>
    <s v="K37"/>
    <x v="55"/>
    <s v="Alejas"/>
    <s v="Laivu nolaišanas vieta Daugavā Upes ielas galā"/>
    <n v="80700081782"/>
    <s v="Pašvaldība"/>
    <s v="Potenciāla publiskā ārtelpa"/>
    <m/>
    <m/>
    <s v="Laivu nolaišanas vieta ūdenī"/>
    <m/>
    <m/>
    <m/>
    <m/>
    <s v="Laivu nolaišanas vieta"/>
    <s v="Laivu nolaišanas vietas ūdenī izbūve"/>
    <s v="Laivu nolaišanas vieta ūdenī"/>
    <n v="1"/>
    <s v="gab."/>
    <n v="15000"/>
    <n v="15000"/>
    <n v="150"/>
    <n v="0.5"/>
    <n v="0.5"/>
    <n v="450"/>
    <n v="900"/>
    <n v="33.333333333333336"/>
    <n v="0.16666666666666666"/>
    <n v="7"/>
  </r>
  <r>
    <s v="R3"/>
    <x v="56"/>
    <s v="Katlakalns"/>
    <s v="Pļavniekkalna skolas priekšlaukums, Katlakalns, Pļavniekkalna iela 20"/>
    <n v="80700070576"/>
    <s v="Pašvaldība"/>
    <s v="Esoša publiskā ārtelpa"/>
    <s v="Skolai top piebūve. Tiks labiekārtots priekšlaukums"/>
    <s v="Final"/>
    <s v="Publiskās apbūves teritorija"/>
    <s v="Augsts"/>
    <s v="Augsts"/>
    <s v="Zems"/>
    <s v="Vidējs"/>
    <s v="- "/>
    <s v="Sabiedriskas ēkas priekšlaukums"/>
    <s v="Publiskais laukums"/>
    <n v="5900"/>
    <s v="m2"/>
    <n v="50"/>
    <m/>
    <n v="250"/>
    <n v="0.3"/>
    <n v="20"/>
    <n v="18000"/>
    <n v="60000"/>
    <n v="0"/>
    <n v="0"/>
    <n v="2"/>
  </r>
  <r>
    <s v="R4"/>
    <x v="57"/>
    <s v="Katlakalns"/>
    <s v="Atpūtas vieta &quot;Nēģīši&quot;, Katlakalns, Ievu ielas galā"/>
    <n v="80700070375"/>
    <s v="Pašvaldība"/>
    <s v="Esoša publiskā ārtelpa"/>
    <s v="2023.gadā tiek pārbūvētas novecojušās kāpnes "/>
    <m/>
    <s v="Dabas un apstādījumu teritorija (Skvērs, Parks, Mežaparks), Aktīvās atpūtas teritorija (Stadions, sporta laukumi), Atpūtas vieta pie ūdens"/>
    <s v="Augsts"/>
    <s v="Augsts"/>
    <s v="Vidējs"/>
    <s v="Augsts"/>
    <s v="- "/>
    <s v="Atpūtas vieta pie ūdens, labiekārtošana "/>
    <s v="Atpūtas vieta pie ūdens, labiekārtošana"/>
    <n v="1"/>
    <s v="gab."/>
    <n v="7160"/>
    <n v="7160"/>
    <n v="3000"/>
    <n v="1"/>
    <n v="3"/>
    <n v="108000"/>
    <n v="108000"/>
    <n v="6.6296296296296298E-2"/>
    <n v="6.6296296296296298E-2"/>
    <n v="7"/>
  </r>
  <r>
    <s v="R6"/>
    <x v="58"/>
    <s v="Katlakalns"/>
    <s v="Katlakalna tautas nams, Pļavniekkalna iela 35, Katlakalns"/>
    <n v="80700070575"/>
    <s v="Pašvaldība"/>
    <s v="Esoša publiskā ārtelpa"/>
    <m/>
    <m/>
    <s v="Publiskās apbūves teritorija"/>
    <s v="Augsts"/>
    <s v="Augsts"/>
    <s v="Vidējs"/>
    <s v="Augsts"/>
    <s v="- "/>
    <s v="-  "/>
    <s v="Turpmākajā plānošanas procesā veicamie darbi"/>
    <n v="4700"/>
    <n v="0"/>
    <n v="0"/>
    <n v="0"/>
    <n v="6000"/>
    <n v="0.25"/>
    <n v="8"/>
    <n v="144000"/>
    <n v="576000"/>
    <n v="0"/>
    <n v="0"/>
    <n v="7"/>
  </r>
  <r>
    <s v="R7"/>
    <x v="59"/>
    <s v="Katlakalns"/>
    <s v="Pieeja pie Daugavas, &quot;Kaļķīši&quot; (Ģipšustūris), Katlakalns"/>
    <n v="80700050064"/>
    <s v="Pašvaldība"/>
    <s v="Esoša publiskā ārtelpa"/>
    <s v="Ir atvestas smiltis pludmalei"/>
    <m/>
    <s v="Dabas un apstādījumu teritorija (Parks, Skvērs, Mežaparks), Atpūtas vieta pie ūdens"/>
    <s v="Zems"/>
    <s v="Zems"/>
    <s v="Zems"/>
    <s v="Vidējs"/>
    <s v="Teritorijas funkcionālas izmaiņas, gājēju infrastruktūra, norāde, lietišķās atpūtas vietas (S/M tipa) labiekārtojums."/>
    <s v="Atpūtas vieta pie ūdens, labiekārtošana "/>
    <s v="Atpūtas vieta pie ūdens, labiekārtošana"/>
    <n v="1"/>
    <s v="gab."/>
    <n v="7160"/>
    <n v="7160"/>
    <n v="1000"/>
    <n v="0.75"/>
    <n v="2"/>
    <n v="18000"/>
    <n v="24000"/>
    <n v="0.39777777777777779"/>
    <n v="0.29833333333333334"/>
    <n v="7"/>
  </r>
  <r>
    <s v="R8"/>
    <x v="60"/>
    <s v="Katlakalns"/>
    <s v="Vēju ielas atpūtas vieta pie ūdens, “Ziedonis” (pie Vēju ielas), Katlakalns"/>
    <n v="80700020562"/>
    <s v="Pašvaldība"/>
    <s v="Esoša publiskā ārtelpa"/>
    <m/>
    <m/>
    <s v="Dabas un apstādījumu teritorija (Skvērs, Parks, Mežaparks), Aktīvās atpūtas teritorija (Stadions, sporta laukumi)"/>
    <s v="Vidējs"/>
    <s v="Augsts"/>
    <s v="Vidējs"/>
    <s v="Augsts"/>
    <s v="- "/>
    <s v="-"/>
    <s v="Atpūtas vieta pie ūdens, labiekārtošana"/>
    <n v="3000"/>
    <s v="gab."/>
    <n v="7160"/>
    <n v="21480000"/>
    <n v="3000"/>
    <n v="1"/>
    <n v="4"/>
    <n v="144000"/>
    <n v="144000"/>
    <n v="149.16666666666666"/>
    <n v="149.16666666666666"/>
    <n v="7"/>
  </r>
  <r>
    <s v="R9"/>
    <x v="61"/>
    <s v="Katlakalns"/>
    <s v="Katlakalna katoļu baznīcas teritorija (6700), ``Ticības``, Katlakalns"/>
    <n v="80700020170"/>
    <s v="Juridiska persona"/>
    <s v="Esoša publiskā ārtelpa"/>
    <m/>
    <s v="Zaudējis aktualitāti"/>
    <s v="Publiskās apbūves teritorija"/>
    <s v="Vidējs"/>
    <s v="Augsts"/>
    <s v="Augsts"/>
    <s v="Augsts"/>
    <s v="- "/>
    <s v="- "/>
    <s v="Esošā labiekārtojuma pilnveidošana"/>
    <n v="1500"/>
    <s v="m2"/>
    <n v="50"/>
    <m/>
    <n v="500"/>
    <n v="0.3"/>
    <n v="4"/>
    <n v="7200"/>
    <n v="24000"/>
    <n v="0"/>
    <n v="0"/>
    <n v="7"/>
  </r>
  <r>
    <s v="R5"/>
    <x v="62"/>
    <s v="Katlakalns"/>
    <s v="Sauliešu pilskalns ar apmetni (2094), Katlakalns, Akmeņsalas iela 1."/>
    <n v="80700070095"/>
    <s v="Fiziska persona"/>
    <s v="Esoša publiskā ārtelpa"/>
    <m/>
    <m/>
    <s v="Dabas un apstādījumu teritorija (Parks, Skvērs, Mežaparks), Kultūrvēsturiska teritorija"/>
    <s v="Zems"/>
    <s v="Zems"/>
    <s v="Zems"/>
    <s v="Zems"/>
    <s v="Norāde"/>
    <s v="Norāžu izvietošana"/>
    <s v="Norāžu izvietošana"/>
    <n v="1"/>
    <s v="gab."/>
    <n v="90"/>
    <n v="90"/>
    <n v="100"/>
    <n v="0.15"/>
    <n v="1"/>
    <n v="180"/>
    <n v="1200"/>
    <n v="0.5"/>
    <n v="7.4999999999999997E-2"/>
    <n v="1"/>
  </r>
  <r>
    <s v="R2"/>
    <x v="63"/>
    <s v="Katlakalns"/>
    <s v="Pļavniekkalna skolas senkapi pretī zemesgabalam Pļavniekkalnu ielā 20"/>
    <n v="80700070463"/>
    <s v="Pašvaldība"/>
    <s v="Esoša publiskā ārtelpa"/>
    <s v="Pļavniekkalna skolas senkapi ar aizsardzības Nr. 2093 ir izslēgti no valsts aizsargājamo kultūras pieminekļu saraksta."/>
    <s v="Zaudējis aktualitāti"/>
    <s v="Dabas un apstādījumu teritorija (Parks, Skvērs, Mežaparks), Kultūrvēsturiska teritorija"/>
    <s v="Zems"/>
    <s v="Zems"/>
    <s v="Zems"/>
    <s v="Zems"/>
    <s v="Norāde"/>
    <s v="Norāžu izvietošana"/>
    <s v="Norāžu izvietošana"/>
    <n v="1"/>
    <s v="gab."/>
    <n v="90"/>
    <m/>
    <n v="100"/>
    <n v="0.15"/>
    <n v="1"/>
    <n v="180"/>
    <n v="1200"/>
    <n v="0"/>
    <n v="0"/>
    <n v="1"/>
  </r>
  <r>
    <s v="R10"/>
    <x v="64"/>
    <s v="Katlakalns"/>
    <s v="Ziedoņa  skvērs pie Mazlēpju, Ozolīšu ielām un autoceļa V2 (Valdlauči - Rāmava)"/>
    <n v="80700020618"/>
    <s v="Pašvaldība"/>
    <s v="Potenciāla publiskā ārtelpa"/>
    <m/>
    <m/>
    <s v="Dabas un apstādījumu teritorija (Parks, Skvērs, Mežaparks)"/>
    <s v="Vidējs"/>
    <s v="Zems"/>
    <s v="Vidējs"/>
    <s v="Vidējs"/>
    <s v="Skvēra rekonstrukcija - gājēju zona, lietišķās atpūtas vieta (L tips), apstādījumu zona."/>
    <s v="Skvērs, rotaļu elementi"/>
    <s v="Skvērs"/>
    <n v="5500"/>
    <s v="m2"/>
    <n v="75"/>
    <n v="412500"/>
    <n v="3000"/>
    <n v="0.5"/>
    <n v="10"/>
    <n v="180000"/>
    <n v="360000"/>
    <n v="2.2916666666666665"/>
    <n v="1.1458333333333333"/>
    <n v="3"/>
  </r>
  <r>
    <s v="R11"/>
    <x v="65"/>
    <s v="Katlakalns"/>
    <s v="Mežaparka zona &quot;Baltā kāpa&quot;"/>
    <n v="80700010046"/>
    <s v="Rīgas valstpilsētai piederošs īpašums"/>
    <s v="Potenciāla publiskā ārtelpa"/>
    <m/>
    <m/>
    <s v="Dabas un apstādījumu teritorija (Parks, Skvērs, Mežaparks)"/>
    <s v="Zems"/>
    <s v="Zems"/>
    <s v="Zems"/>
    <s v="Vidējs"/>
    <s v="Ceļu tīkls, savienojums ar citām rekreācijas teritorijām"/>
    <s v="Mežaparks"/>
    <s v="Mežaparks"/>
    <n v="4000"/>
    <s v="m2"/>
    <n v="25"/>
    <n v="100000"/>
    <n v="6000"/>
    <n v="1.5"/>
    <n v="4"/>
    <n v="432000"/>
    <n v="288000"/>
    <n v="0.23148148148148148"/>
    <n v="0.34722222222222221"/>
    <n v="3"/>
  </r>
  <r>
    <s v="R12"/>
    <x v="66"/>
    <s v="Katlakalns"/>
    <s v="Ķekavas pašvaldības īpašums &quot;Foreles&quot;"/>
    <n v="80700050150"/>
    <s v="Pašvaldība"/>
    <s v="Potenciāla publiskā ārtelpa"/>
    <m/>
    <m/>
    <s v="Dabas un apstādījumu teritorija (Skvērs, Parks, Mežaparks), Atpūtas vieta pie ūdens"/>
    <m/>
    <m/>
    <m/>
    <m/>
    <s v="Teritorjias iekļaušana kopējā taku tīklā (maršrutā) gar Daugavu. Attīstība uzsākama pēc tam, kad tiks veikta attīstība īpašumā ar kadastra Nr. 80700050114"/>
    <s v="Gājēju taka gar Daugavu"/>
    <s v="Gājēju taka gar Daugavu"/>
    <n v="5400"/>
    <s v="m2"/>
    <n v="40"/>
    <n v="216000"/>
    <n v="1000"/>
    <n v="0.75"/>
    <n v="2"/>
    <n v="18000"/>
    <n v="24000"/>
    <n v="12"/>
    <n v="9"/>
    <n v="7"/>
  </r>
  <r>
    <s v="R13"/>
    <x v="67"/>
    <s v="Katlakalns"/>
    <s v="Zemes gagals &quot;Ābuli&quot; pie autoceļa V2 (Valdlauči -Rāmava)"/>
    <n v="80700050048"/>
    <s v=" Pašvaldība"/>
    <s v="Potenciāla publiskā ārtelpa"/>
    <m/>
    <m/>
    <s v="Dabas un apstādījumu teritorija (Skvērs, Parks, Mežaparks), Aktīvās atpūtas teritorija (Stadions, sporta laukumi)"/>
    <m/>
    <m/>
    <m/>
    <m/>
    <s v="Lietišķās atpūtas vietas (S tipa), automašīnu stāvlaukuma zona, velosipēdu novietņu zona, aktīvās atpūtas zona - sporta laukums, stadions, bērnu rotaļu laukums (L tipa)"/>
    <s v="Publiskais sporta laukums"/>
    <s v="Publiskais sporta laukums"/>
    <n v="20000"/>
    <s v="m2"/>
    <n v="50"/>
    <n v="1000000"/>
    <n v="6000"/>
    <n v="0.25"/>
    <n v="20"/>
    <n v="360000"/>
    <n v="1440000"/>
    <n v="2.7777777777777777"/>
    <n v="0.69444444444444442"/>
    <n v="7"/>
  </r>
  <r>
    <s v="R13"/>
    <x v="68"/>
    <s v="Katlakalns"/>
    <s v="Plānota Katlakalna skolas vieta pie autoceļa V2 (Valdlauči -Rāmava)"/>
    <n v="80700050048"/>
    <s v=" Pašvaldība"/>
    <s v="Potenciāla publiskā ārtelpa"/>
    <m/>
    <m/>
    <s v="Dabas un apstādījumu teritorija (Skvērs, Parks, Mežaparks), Aktīvās atpūtas teritorija (Stadions, sporta laukumi)"/>
    <m/>
    <m/>
    <m/>
    <m/>
    <s v="Lietišķās atpūtas vietas (S tipa), automašīnu stāvlaukuma zona, velosipēdu novietņu zona, aktīvās atpūtas zona - sporta laukums, stadions, bērnu rotaļu laukums (L tipa)"/>
    <s v="Rotaļu laukums (L)"/>
    <s v="Bērnu rotaļu un sporta laukums L"/>
    <n v="1"/>
    <s v="gab."/>
    <n v="30325"/>
    <n v="30325"/>
    <n v="6000"/>
    <n v="1"/>
    <n v="8"/>
    <n v="576000"/>
    <n v="576000"/>
    <n v="5.2647569444444445E-2"/>
    <n v="5.2647569444444445E-2"/>
    <n v="7"/>
  </r>
  <r>
    <s v="R14"/>
    <x v="69"/>
    <s v="Katlakalns"/>
    <s v="Zemes gagals &quot;Ābuli&quot; pie autoceļa V2 (Valdlauči -Rāmava)"/>
    <n v="80700071397"/>
    <s v="Pašvaldība"/>
    <s v="Potenciāla publiskā ārtelpa"/>
    <s v=" Ir plānots asfaltēt Sporta ielu 2023.gadā. "/>
    <m/>
    <s v="Dabas un apstādījumu teritorija (Skvērs, Parks, Mežaparks), Aktīvās atpūtas teritorija (Stadions, sporta laukumi)"/>
    <m/>
    <m/>
    <m/>
    <m/>
    <s v="Aktīvās atpūtas labiekārtojuma elementi (L vai XL tipa)"/>
    <s v="Aktīvās atpūtas labiekārtojuma  (L vai XL tipa)"/>
    <s v="Aktīvās atpūtas labiekārtojums XL "/>
    <n v="1"/>
    <s v="gab."/>
    <n v="59875"/>
    <n v="59875"/>
    <n v="2500"/>
    <n v="1"/>
    <n v="15"/>
    <n v="450000"/>
    <n v="450000"/>
    <n v="0.13305555555555557"/>
    <n v="0.13305555555555557"/>
    <n v="7"/>
  </r>
  <r>
    <s v="R15"/>
    <x v="70"/>
    <s v="Katlakalns"/>
    <s v="Sabiedriskā transporta pietura &quot;Pļavniekkalns&quot; , pie Pļavniekkalna ielas 20 (Pļavniekkalna sākumskolas)"/>
    <n v="80700070546"/>
    <s v="Pašvaldība"/>
    <s v="Potenciāla publiskā ārtelpa"/>
    <m/>
    <m/>
    <s v="Sabiedriskā  transporta pieturas"/>
    <m/>
    <m/>
    <m/>
    <m/>
    <s v="Veikt pieturas pārbūvi, veidojot kā L tipa sabiedriskā transporta pieturu."/>
    <s v="Lietišķās atpūtas vieta (L)"/>
    <s v="Lietišķās atpūtas vieta (L)"/>
    <n v="2"/>
    <s v="gab."/>
    <n v="7160"/>
    <n v="14320"/>
    <n v="1500"/>
    <n v="0.15"/>
    <n v="20"/>
    <n v="54000"/>
    <n v="360000"/>
    <n v="0.26518518518518519"/>
    <n v="3.977777777777778E-2"/>
    <n v="1"/>
  </r>
  <r>
    <s v="R16"/>
    <x v="71"/>
    <s v="Katlakalns"/>
    <s v="Sabiedriskā transporta pietura &quot;Katlakalns&quot;, Ģipšustūrī"/>
    <n v="80700050098"/>
    <s v="Valsts"/>
    <s v="Potenciāla publiskā ārtelpa"/>
    <m/>
    <m/>
    <s v="Sabiedriskā  transporta pieturas"/>
    <m/>
    <m/>
    <m/>
    <m/>
    <s v="Veikt pieturas pārbūvi, veidojot kā L tipa sabiedriskā transporta pieturu."/>
    <s v="Lietišķās atpūtas vieta (L)"/>
    <s v="Lietišķās atpūtas vieta (L)"/>
    <n v="2"/>
    <s v="gab."/>
    <n v="7160"/>
    <n v="14320"/>
    <n v="1000"/>
    <n v="0.15"/>
    <n v="20"/>
    <n v="36000"/>
    <n v="240000"/>
    <n v="0.39777777777777779"/>
    <n v="5.9666666666666666E-2"/>
    <n v="1"/>
  </r>
  <r>
    <s v="R17"/>
    <x v="72"/>
    <s v="Katlakalns"/>
    <s v="Sabiedriskā trnasporta pietura &quot; Kooperatīvs Ziedonis&quot; pie zemes gabala ``Katlakalna kapi``, Katlakalns,"/>
    <n v="80700020569"/>
    <s v="Pašvaldība"/>
    <s v="Potenciāla publiskā ārtelpa"/>
    <m/>
    <m/>
    <s v="Sabiedriskā  transporta pieturas"/>
    <m/>
    <m/>
    <m/>
    <m/>
    <s v="Veikt pieturas pārbūvi, veidojot kā L tipa sabiedriskā transporta pieturu."/>
    <s v="Lietišķās atpūtas vieta (L)"/>
    <s v="Lietišķās atpūtas vieta (L)"/>
    <n v="2"/>
    <s v="gab."/>
    <n v="7160"/>
    <n v="14320"/>
    <n v="3000"/>
    <n v="0.15"/>
    <n v="20"/>
    <n v="108000"/>
    <n v="720000"/>
    <n v="0.1325925925925926"/>
    <n v="1.988888888888889E-2"/>
    <n v="1"/>
  </r>
  <r>
    <s v="R18"/>
    <x v="73"/>
    <s v="Katlakalns"/>
    <s v="Pļavniekkalna ielas lietišķais labiekārtojums"/>
    <n v="80700070546"/>
    <s v="Pašvaldība"/>
    <s v="Potenciāla publiskā ārtelpa"/>
    <s v="Ir izstrādāts projekts 1 atpūtas vietas izveidei (kabatiņa ar solu, miskasti, velostatīvu). "/>
    <m/>
    <s v="Lietišķās atpūtas vietas"/>
    <m/>
    <m/>
    <m/>
    <m/>
    <s v="Izvietot lietišķās atpūtas vietas (S/M tips)."/>
    <s v="Lietišķās atpūtas vieta (S/M)"/>
    <s v="Lietišķās atpūtas vieta (M)"/>
    <n v="3"/>
    <s v="gab."/>
    <n v="3150"/>
    <n v="9450"/>
    <n v="3000"/>
    <n v="0.15"/>
    <n v="10"/>
    <n v="54000"/>
    <n v="360000"/>
    <n v="0.17499999999999999"/>
    <n v="2.6249999999999999E-2"/>
    <n v="1"/>
  </r>
  <r>
    <s v="R19"/>
    <x v="74"/>
    <s v="Rāmava"/>
    <s v="Rāmavas muiža, Rakstnieka G.Merķeļa dzīvesvieta (92), Rāmavas iela 9,"/>
    <n v="80700070289"/>
    <s v="Pašvaldība"/>
    <s v="Esoša publiskā ārtelpa"/>
    <s v="Nomas līgums tuvojas beigām. Nav veikti ieguldījumi. "/>
    <s v="Zaudējis aktualitāti"/>
    <s v="Dabas un apstādījumu teritorija (Parks, Skvērs, Mežaparks), Kultūrvēsturiska teritorija"/>
    <s v="Augsts"/>
    <s v="Vidējs"/>
    <s v="Augsts"/>
    <s v="Augsts"/>
    <s v="- "/>
    <s v="- "/>
    <s v="Turpmākajā plānošanas procesā veicamie darbi"/>
    <n v="44500"/>
    <s v="m2"/>
    <n v="0"/>
    <m/>
    <n v="5000"/>
    <n v="1"/>
    <n v="5"/>
    <n v="300000"/>
    <n v="300000"/>
    <n v="0"/>
    <n v="0"/>
    <n v="7"/>
  </r>
  <r>
    <s v="R20"/>
    <x v="75"/>
    <s v="Rāmava"/>
    <s v=" ``Rāmaviņa``, Sporta un bērnu rotaļu laukums, ``Rāmaviņa``, Rāmava"/>
    <n v="80700070290"/>
    <s v="Pašvaldība"/>
    <s v="Esoša publiskā ārtelpa"/>
    <s v="Veikts rotaļu laukuma papildinājums "/>
    <m/>
    <s v="Aktīvās atpūtas teritorija (Stadions, sporta laukumi)"/>
    <s v="Augsts"/>
    <s v="Augsts"/>
    <s v="Zems"/>
    <s v="Augsts"/>
    <s v="Norādes uz rekreācijas teritoriju"/>
    <s v="Norāžu izvietošana"/>
    <s v="Norāžu izvietošana"/>
    <n v="2"/>
    <s v="gab."/>
    <n v="90"/>
    <n v="180"/>
    <n v="5000"/>
    <n v="1"/>
    <n v="10"/>
    <n v="600000"/>
    <n v="600000"/>
    <n v="2.9999999999999997E-4"/>
    <n v="2.9999999999999997E-4"/>
    <n v="1"/>
  </r>
  <r>
    <s v="R21"/>
    <x v="76"/>
    <s v="Rāmava"/>
    <s v="Rāmavas ielas lietišķais labiekārtojums"/>
    <n v="80700070543"/>
    <s v="Pašvaldība"/>
    <s v="Potenciāla publiskā ārtelpa"/>
    <s v="Ir izstrādāts projekts 2 atpūtas vietas izveidei (kabatiņa ar solu, miskasti, velostatīvu). "/>
    <m/>
    <s v="Lietišķās atpūtas vietas"/>
    <m/>
    <m/>
    <m/>
    <m/>
    <s v="Izvietot lietišķās atpūtas vietas (S/M tips)"/>
    <s v="Lietišķās atpūtas vieta (S/M)"/>
    <s v="Lietišķās atpūtas vieta (M)"/>
    <n v="8"/>
    <s v="gab."/>
    <n v="3150"/>
    <n v="25200"/>
    <n v="3000"/>
    <n v="0.15"/>
    <n v="10"/>
    <n v="54000"/>
    <n v="360000"/>
    <n v="0.46666666666666667"/>
    <n v="7.0000000000000007E-2"/>
    <n v="1"/>
  </r>
  <r>
    <s v="R22"/>
    <x v="77"/>
    <s v="Rāmava"/>
    <s v="Ķekavas pašvaldības īpašums &quot;Rudzāji&quot;, Rāmava"/>
    <n v="80700070291"/>
    <s v="Pašvaldība"/>
    <s v="Potenciāla publiskā ārtelpa"/>
    <m/>
    <m/>
    <s v="Dabas un apstādījumu teritorija (Skvērs, Parks, Mežaparks), Atpūtas vieta pie ūdens"/>
    <m/>
    <m/>
    <m/>
    <m/>
    <s v="Gājēju ceļu izbūve, pieejamības uzlabošana.Savienojumi ar citām rekreācijas teritorijām"/>
    <s v="Parks"/>
    <s v="Parks "/>
    <n v="10000"/>
    <s v="m2"/>
    <n v="50"/>
    <n v="500000"/>
    <n v="1000"/>
    <n v="0.5"/>
    <n v="5"/>
    <n v="30000"/>
    <n v="60000"/>
    <n v="16.666666666666668"/>
    <n v="8.3333333333333339"/>
    <n v="7"/>
  </r>
  <r>
    <s v="R23"/>
    <x v="78"/>
    <s v="Rāmava"/>
    <s v="Sabiedriskā transporta pietura &quot;Rāmava&quot; pie Rāmavas ielas un autoceļa V2 (Valdlauči - Rāmava) krustojuma"/>
    <n v="80700040031"/>
    <s v="Valsts"/>
    <s v="Potenciāla publiskā ārtelpa"/>
    <m/>
    <m/>
    <s v="Sabiedriskā  transporta pieturas"/>
    <m/>
    <m/>
    <m/>
    <m/>
    <s v="Veikt pieturas pārbūvi, veidojot kā L tipa sabiedriskā transporta pieturu."/>
    <s v="Lietišķās atpūtas vieta (L)"/>
    <s v="Lietišķās atpūtas vieta (L)"/>
    <n v="2"/>
    <s v="gab."/>
    <n v="7160"/>
    <n v="14320"/>
    <n v="3000"/>
    <n v="0.15"/>
    <n v="20"/>
    <n v="108000"/>
    <n v="720000"/>
    <n v="0.1325925925925926"/>
    <n v="1.988888888888889E-2"/>
    <n v="1"/>
  </r>
  <r>
    <s v="R24"/>
    <x v="79"/>
    <s v="Rāmava"/>
    <s v="V2 valsts ceļa gājēju un velosipēdu infrasturktūra"/>
    <n v="80700040031"/>
    <s v="Valsts"/>
    <s v="Potenciāla publiskā ārtelpa"/>
    <s v="Izbūvēta ietve un &quot;kabatiņas&quot; ar soliņiem,miskasti, velostatīviem posmā no Egļu līdz Bauskas ielai. Posmā no Egļu ielas līdz Kāpu ielai būvniecības stadijā (2023.g.) "/>
    <m/>
    <s v="Transporta infrastuktūra (Gājēju un velosipēdu infrasturktūra),  Lietišķās atpūtas vietas"/>
    <m/>
    <m/>
    <m/>
    <m/>
    <s v="Apgaismotas ietves izbūve visā  V2 ceļa garumā.  Lietišķās atpūtas vietu izvietošana (S tipa). "/>
    <s v="Transporta infrastruktūra - kājāmgājēju infrastruktūras izveide"/>
    <s v="Transporta infrastruktūra - kājāmgājēju infrastruktūras pilnveidošana (bruģis)"/>
    <n v="30000"/>
    <s v="m2"/>
    <n v="55"/>
    <n v="1650000"/>
    <n v="6000"/>
    <n v="0.75"/>
    <n v="30"/>
    <n v="1620000"/>
    <n v="2160000"/>
    <n v="1.0185185185185186"/>
    <n v="0.76388888888888884"/>
    <n v="1"/>
  </r>
  <r>
    <s v="R24"/>
    <x v="80"/>
    <s v="Rāmava"/>
    <s v="V2 valsts ceļa gājēju un velosipēdu infrasturktūra"/>
    <n v="80700040031"/>
    <s v="Valsts"/>
    <s v="Potenciāla publiskā ārtelpa"/>
    <s v=" Sabiedriskā transporta pieturvietas pie 62 un 63. Un 75 "/>
    <m/>
    <s v="Transporta infrastuktūra (Gājēju un velosipēdu infrasturktūra),  Lietišķās atpūtas vietas"/>
    <m/>
    <m/>
    <m/>
    <m/>
    <s v="Apgaismotas ietves izbūve visā  V2 ceļa garumā.  Lietišķās atpūtas vietu izvietošana (S tipa). "/>
    <s v="Lietišķās atpūtas vieta (S)"/>
    <s v="Lietišķās atpūtas vieta (S)"/>
    <n v="8"/>
    <s v="gab."/>
    <n v="2765"/>
    <n v="22120"/>
    <n v="6000"/>
    <n v="0.15"/>
    <n v="10"/>
    <n v="108000"/>
    <n v="720000"/>
    <n v="0.20481481481481481"/>
    <n v="3.0722222222222224E-2"/>
    <n v="1"/>
  </r>
  <r>
    <s v="B1"/>
    <x v="81"/>
    <s v="Baloži (Titurga)"/>
    <s v="Uzvaras prospekts 1A, Baloži "/>
    <s v="_x000a_80070010136"/>
    <s v="Pašvaldība"/>
    <s v="Esoša publiskā ārtelpa"/>
    <s v="Ir izstrādāts projekts (strūklaku demontāža, laukuma nobruģēšana, apstādījumi).  2022.g bērnu laukumā veco rotaļu elements aizstāšana ar jaunu."/>
    <s v="Final"/>
    <s v="Publiskās apbūves teritorija"/>
    <s v="Augsts"/>
    <s v="Vidējs"/>
    <s v="Zems"/>
    <s v="Augsts"/>
    <s v="Priekšlaukuma rekonstrukcija, funkcionālā zonējuma izmaiņas - gājēju zona, autostāvlaukums, ieejas zonas, apstādījumu zona."/>
    <s v="Publiskais laukums"/>
    <s v="Publiskais laukums"/>
    <n v="1000"/>
    <s v="m2"/>
    <n v="50"/>
    <m/>
    <n v="1000"/>
    <n v="0.25"/>
    <n v="8"/>
    <n v="24000"/>
    <n v="96000"/>
    <n v="0"/>
    <n v="0"/>
    <n v="1"/>
  </r>
  <r>
    <s v="B2"/>
    <x v="82"/>
    <s v="Baloži (Titurga)"/>
    <s v="Zaļā iela 4, Zaļā iela , Baloži"/>
    <s v="80070010608,  80070010516"/>
    <s v="Pašvaldība"/>
    <s v="Esoša publiskā ārtelpa"/>
    <s v="Sakārtots ceļu tīkls, izbūvēts apgasimojums, papildu sporta un rotaļu elementi.  "/>
    <s v="Final"/>
    <s v="Dabas un apstādījumu teritorija (Skvērs, Parks, Mežaparks), Aktīvās atpūtas teritorija (Stadions, sporta laukumi)"/>
    <s v="Vidējs"/>
    <s v="Zems"/>
    <s v="Zems"/>
    <s v="Augsts"/>
    <s v="Koku retināšana, segumi zem bērnu rotaļu laukumiem."/>
    <s v="Koku stādījumu pilnveidošana"/>
    <s v="Koku stādījumu retināšana"/>
    <n v="10"/>
    <s v="gab."/>
    <n v="150"/>
    <m/>
    <n v="1500"/>
    <n v="1"/>
    <n v="15"/>
    <n v="270000"/>
    <n v="270000"/>
    <n v="0"/>
    <n v="0"/>
    <n v="1"/>
  </r>
  <r>
    <s v="B3"/>
    <x v="83"/>
    <s v="Baloži"/>
    <s v="Baložu kultūras nama laukums &quot;Varde&quot;, Skolas iela 4, Baloži"/>
    <n v="80070021902"/>
    <s v="Pašvaldība"/>
    <s v="Esoša publiskā ārtelpa"/>
    <s v="Ir uzlikts interkatīvais info stends un elektrouzlādes punkts. "/>
    <m/>
    <s v="Dabas un apstādījumu teritorija (Skvērs, Parks, Mežaparks), Aktīvās atpūtas teritorija (Stadions, sporta laukumi)"/>
    <s v="Vidējs"/>
    <s v="Augsts"/>
    <s v="Vidējs"/>
    <s v="Augsts"/>
    <s v="Izvērtēt esošo koku dzīvotspēju un veikt sanitāru tīrīšanu. Atjaunot bērnu rotaļu laukumu segumus."/>
    <s v="Koku stādījumu pilnveidošana"/>
    <s v="Koku stādījumu retināšana"/>
    <n v="10"/>
    <s v="gab."/>
    <n v="150"/>
    <n v="1500"/>
    <n v="6000"/>
    <n v="0.5"/>
    <n v="15"/>
    <n v="540000"/>
    <n v="1080000"/>
    <n v="2.7777777777777779E-3"/>
    <n v="1.3888888888888889E-3"/>
    <n v="2"/>
  </r>
  <r>
    <s v="B3"/>
    <x v="84"/>
    <s v="Baloži"/>
    <s v="Baložu kultūras nama laukums &quot;Varde&quot;, Skolas iela 4, Baloži"/>
    <n v="80070021902"/>
    <s v="Pašvaldība"/>
    <s v="Esoša publiskā ārtelpa"/>
    <m/>
    <m/>
    <s v="Dabas un apstādījumu teritorija (Skvērs, Parks, Mežaparks), Aktīvās atpūtas teritorija (Stadions, sporta laukumi)"/>
    <s v="Vidējs"/>
    <s v="Augsts"/>
    <s v="Vidējs"/>
    <s v="Augsts"/>
    <s v="Izvērtēt esošo koku dzīvotspēju un veikt sanitāru tīrīšanu. Atjaunot bērnu rotaļu laukumu segumus."/>
    <s v="Segumu ieklāšana zem rotaļu zonas "/>
    <s v="Segumu ieklāšana zem rotaļu zonas "/>
    <n v="4000"/>
    <s v="m2"/>
    <n v="75"/>
    <n v="300000"/>
    <n v="2500"/>
    <n v="1"/>
    <n v="15"/>
    <n v="450000"/>
    <n v="450000"/>
    <n v="0.66666666666666663"/>
    <n v="0.66666666666666663"/>
    <n v="2"/>
  </r>
  <r>
    <s v="B4"/>
    <x v="85"/>
    <s v="Baloži"/>
    <s v="Baložu viduskolas apkārtne, Skolas iela 6, Baloži"/>
    <n v="80070020005"/>
    <s v="Pašvaldība"/>
    <s v="Esoša publiskā ārtelpa"/>
    <s v="Izbūvēts stadions un piebūve, labiekārtota apkārtējā teritorija. Bērzu ielas galā galds plus sols plus miskaste un norādes uz Bānīti. "/>
    <s v="Final"/>
    <s v="Publiskās apbūves teritorija"/>
    <s v="Vidējs"/>
    <s v="Augsts"/>
    <s v="Vidējs"/>
    <s v="Augsts"/>
    <s v="Stadiona pārbūve"/>
    <s v="Sporta stadions"/>
    <s v="Sporta stadions"/>
    <n v="4400"/>
    <s v="m2"/>
    <n v="75"/>
    <m/>
    <n v="4000"/>
    <n v="0.5"/>
    <n v="20"/>
    <n v="480000"/>
    <n v="960000"/>
    <n v="0"/>
    <n v="0"/>
    <n v="2"/>
  </r>
  <r>
    <s v="B5"/>
    <x v="86"/>
    <s v="Baloži"/>
    <s v="Daudzdzīvokļu māju iekšpagalms/skvērs, Medema iela 11"/>
    <n v="80070021816"/>
    <s v="Pašvaldība"/>
    <s v="Esoša publiskā ārtelpa"/>
    <s v="Sakārtots ceļu tīkls, izbūvēts apgasimojums, papildu sporta un rotaļu elementi.  "/>
    <s v="Final"/>
    <s v="Dabas un apstādījumu teritorija (Skvērs, Parks, Mežaparks), Aktīvās atpūtas teritorija (Stadions, sporta laukumi)"/>
    <s v="Vidējs"/>
    <s v="Vidējs"/>
    <s v="Zems"/>
    <s v="Augsts"/>
    <s v="Apstādījumu papildināšana (koku un krūmu stādījumi), rotaļu iekārtu papildināšana, lietišķās atpūtas vietas/laukums (L tipa). Savienojums ar citām rekreācijas teritorijām."/>
    <s v="Daudzdzīvokļu māju iekšpagalmi"/>
    <s v="Esošā labiekārtojuma pilnveidošana"/>
    <n v="8500"/>
    <s v="m2"/>
    <n v="50"/>
    <m/>
    <n v="3000"/>
    <n v="1"/>
    <n v="10"/>
    <n v="360000"/>
    <n v="360000"/>
    <n v="0"/>
    <n v="0"/>
    <n v="2"/>
  </r>
  <r>
    <s v="B6"/>
    <x v="87"/>
    <s v="Baloži"/>
    <s v="Tirdzniecības centra priekšlaukums. Rīgas iela 14, Baloži,"/>
    <n v="80070022001"/>
    <s v="Juridiska persona"/>
    <s v="Esoša publiskā ārtelpa"/>
    <s v="2021.g. talkas ietvaros izveidota dekoratīvo krūmu dobe. Soliņi nav, bet nepieciešami"/>
    <m/>
    <s v="Publiskās apbūves teritorija"/>
    <s v="Augsts"/>
    <s v="Zems"/>
    <s v="Zems"/>
    <s v="Vidējs"/>
    <s v="Lietišķās atpūtas labiekārtojuma elementu atjaunošana. "/>
    <s v="Lietišķās atpūtas vieta (L)"/>
    <s v="Lietišķās atpūtas vieta (L)"/>
    <n v="1"/>
    <s v="gab."/>
    <n v="7160"/>
    <n v="7160"/>
    <n v="6000"/>
    <n v="0.25"/>
    <n v="30"/>
    <n v="540000"/>
    <n v="2160000"/>
    <n v="1.3259259259259259E-2"/>
    <n v="3.3148148148148147E-3"/>
    <n v="1"/>
  </r>
  <r>
    <s v="B7"/>
    <x v="88"/>
    <s v="Baloži"/>
    <s v="Mežaparka zona, Titurgas ezera atpūtas vieta pie ūdens Baloži, Ezera iela 7 "/>
    <s v="80070021311 (ezera teritorija, atpūtas vietas un piegulošā zona Ezera ielai) "/>
    <s v="Jaukta statusa īpašums, potenciāls"/>
    <s v="Potenciāla publiskā ārtelpa"/>
    <m/>
    <m/>
    <s v="Dabas un apstādījumu teritorija (Skvērs, Parks, Mežaparks), Aktīvās atpūtas teritorija (Stadions, sporta laukumi)"/>
    <s v="Vidējs"/>
    <s v="Vidējs"/>
    <s v="Vidējs"/>
    <s v="Augsts"/>
    <s v="Gājēju ceļu tīkls, savienojums starp pludmalēm. Savstarpēji saskaņots labiekārtojuma elementu dizains"/>
    <s v="Mežaparks"/>
    <s v="Mežaparks"/>
    <n v="15600"/>
    <s v="m2"/>
    <n v="25"/>
    <n v="390000"/>
    <n v="8000"/>
    <n v="1.5"/>
    <n v="5"/>
    <n v="720000"/>
    <n v="480000"/>
    <n v="0.54166666666666663"/>
    <n v="0.8125"/>
    <n v="2"/>
  </r>
  <r>
    <s v="B8"/>
    <x v="89"/>
    <s v="Baloži"/>
    <s v="Mežaparka, kāpas zona starp Purva un Kalnu ielām"/>
    <n v="80070021626"/>
    <s v="Pašvaldība"/>
    <s v="Potenciāla publiskā ārtelpa"/>
    <m/>
    <m/>
    <s v="Dabas un apstādījumu teritorija (Parks, Skvērs, Mežaparks)"/>
    <s v="Zems"/>
    <s v="Zems"/>
    <s v="Zems"/>
    <s v="Vidējs"/>
    <s v="Ceļu tīkls, atpūtas vietas, bērnu ziemas aktivitāšu vieta (šļūkšanas kalniņš). Uzlabot šļūkšanas trases kvalitāti."/>
    <s v="Ziemas atpūtas vieta"/>
    <s v="Ziemas atpūtas vieta"/>
    <n v="6000"/>
    <s v="m2"/>
    <n v="7"/>
    <n v="42000"/>
    <n v="500"/>
    <n v="1.5"/>
    <n v="1"/>
    <n v="9000"/>
    <n v="6000"/>
    <n v="4.666666666666667"/>
    <n v="7"/>
    <n v="3"/>
  </r>
  <r>
    <s v="B9"/>
    <x v="90"/>
    <s v="Baloži"/>
    <s v="Saulgriežu ielas gājēju un velosipēdistu infrastruktūra"/>
    <n v="80070032676"/>
    <s v="Pašvaldība"/>
    <s v="Potenciāla publiskā ārtelpa"/>
    <s v="Asfalts un ietve. Projektēšana posmam no Miglas ielas. Projektēšanas 2. kārta.  "/>
    <m/>
    <s v="Transporta infrastuktūra( Gājēju un velosipēdu infrasturktūra),  Lietišķās atpūtas vietas"/>
    <m/>
    <m/>
    <m/>
    <m/>
    <s v="Apgaismotas ietves izbūve Saulgriežu ielas visā garumā. Lietišķās atpūtas vietu izvietošana (S tips)"/>
    <s v="Transporta infrastruktūra - kājāmgājēju un velosipedistu  infrastruktūras pilnveidošana"/>
    <s v="Transporta infrastruktūra - kājāmgājēju un velosipedistu infrastruktūras pilnveidošana (asfalts)"/>
    <n v="36600"/>
    <s v="m2"/>
    <n v="55"/>
    <n v="2013000"/>
    <n v="1500"/>
    <n v="0.5"/>
    <n v="30"/>
    <n v="270000"/>
    <n v="540000"/>
    <n v="7.4555555555555557"/>
    <n v="3.7277777777777779"/>
    <n v="1"/>
  </r>
  <r>
    <s v="B9"/>
    <x v="91"/>
    <s v="Baloži"/>
    <s v="Saulgriežu ielas gājēju un velosipēdistu infrastruktūra"/>
    <n v="80070032676"/>
    <s v="Pašvaldība"/>
    <s v="Potenciāla publiskā ārtelpa"/>
    <s v="Soli, apgaismojums, Izbūvētas un izveidotas 2 pieturas sabiedriskajam trasprotam. "/>
    <m/>
    <s v="Transporta infrastuktūra( Gājēju un velosipēdu infrasturktūra),  Lietišķās atpūtas vietas"/>
    <m/>
    <m/>
    <m/>
    <m/>
    <s v="Apgaismotas ietves izbūve Saulgriežu ielas visā garumā. Lietišķās atpūtas vietu izvietošana (S tips)"/>
    <s v="Lietišķās atpūtas vieta (S)"/>
    <s v="Lietišķās atpūtas vieta (S)"/>
    <n v="6"/>
    <s v="gab."/>
    <n v="2765"/>
    <n v="16590"/>
    <n v="1500"/>
    <n v="0.15"/>
    <n v="20"/>
    <n v="54000"/>
    <n v="360000"/>
    <n v="0.30722222222222223"/>
    <n v="4.608333333333333E-2"/>
    <n v="1"/>
  </r>
  <r>
    <s v="B10"/>
    <x v="92"/>
    <s v="Baloži"/>
    <s v="Miglas ielas gājēju un velosipēdistu infrastruktūra"/>
    <n v="80070033684"/>
    <s v="Pašvaldība"/>
    <s v="Potenciāla publiskā ārtelpa"/>
    <s v="Asfalts un ietve, soli, apgaismojums, ietve, "/>
    <s v="Final"/>
    <s v="Transporta infrastuktūra( Gājēju un velosipēdu infrasturktūra),  Lietišķās atpūtas vietas"/>
    <m/>
    <m/>
    <m/>
    <m/>
    <s v="Apgaismotas ietves izbūve no Saulgriežu ielas līdz Ezera ielai. Lietišķās atpūtas vietu izvietošana (S tips)"/>
    <s v="Transporta infrastruktūra - kājāmgājēju un velosipedistu infrastruktūras pilnveidošana"/>
    <s v="Transporta infrastruktūra - kājāmgājēju un velosipedistu infrastruktūras pilnveidošana (asfalts)"/>
    <n v="8400"/>
    <s v="m2"/>
    <n v="55"/>
    <m/>
    <n v="1500"/>
    <n v="0.5"/>
    <n v="30"/>
    <n v="270000"/>
    <n v="540000"/>
    <n v="0"/>
    <n v="0"/>
    <n v="7"/>
  </r>
  <r>
    <s v="B10"/>
    <x v="93"/>
    <s v="Baloži"/>
    <s v="Miglas ielas gājēju un velosipēdistu infrastruktūra"/>
    <n v="80070033684"/>
    <s v="Pašvaldība"/>
    <s v="Potenciāla publiskā ārtelpa"/>
    <s v="Asfalts un ietve, soli, apgaismojums, ietve, "/>
    <s v="Final"/>
    <s v="Transporta infrastuktūra( Gājēju un velosipēdu infrasturktūra),  Lietišķās atpūtas vietas"/>
    <m/>
    <m/>
    <m/>
    <m/>
    <s v="Apgaismotas ietves izbūve no Saulgriežu ielas līdz Ezera ielai. Lietišķās atpūtas vietu izvietošana (S tips)"/>
    <s v="Lietišķās atpūtas vieta (S)"/>
    <s v="Lietišķās atpūtas vieta (S)"/>
    <n v="2"/>
    <s v="gab."/>
    <n v="2765"/>
    <m/>
    <n v="1500"/>
    <n v="0.15"/>
    <n v="20"/>
    <n v="54000"/>
    <n v="360000"/>
    <n v="0"/>
    <n v="0"/>
    <n v="7"/>
  </r>
  <r>
    <s v="B11"/>
    <x v="94"/>
    <s v="Baloži"/>
    <s v="Titurgas ielas gājēju un velosipēdistu infrastruktūra"/>
    <n v="80070010611"/>
    <s v="Pašvaldība"/>
    <s v="Potenciāla publiskā ārtelpa"/>
    <m/>
    <m/>
    <s v="Transporta infrastuktūra( Gājēju un velosipēdu infrasturktūra),  Lietišķās atpūtas vietas"/>
    <m/>
    <m/>
    <m/>
    <m/>
    <s v="Apgaismotas ietves izbūve no Saulgriežu ielas līdz Ezera ielai. Lietišķās atpūtas vietu izvietošana(S tips)"/>
    <s v="Transporta infrastruktūra - kājāmgājēju un velosipedistu infrastruktūras pilnveidošana"/>
    <s v="Transporta infrastruktūra - kājāmgājēju un velosipedistu infrastruktūras pilnveidošana (asfalts)"/>
    <n v="5500"/>
    <s v="m2"/>
    <n v="55"/>
    <n v="302500"/>
    <n v="1000"/>
    <n v="0.25"/>
    <n v="10"/>
    <n v="30000"/>
    <n v="120000"/>
    <n v="10.083333333333334"/>
    <n v="2.5208333333333335"/>
    <n v="3"/>
  </r>
  <r>
    <s v="B11"/>
    <x v="95"/>
    <s v="Baloži"/>
    <s v="Titurgas ielas gājēju un velosipēdistu infrastruktūra"/>
    <n v="80070010611"/>
    <s v="Pašvaldība"/>
    <s v="Potenciāla publiskā ārtelpa"/>
    <m/>
    <m/>
    <s v="Transporta infrastuktūra( Gājēju un velosipēdu infrasturktūra),  Lietišķās atpūtas vietas"/>
    <m/>
    <m/>
    <m/>
    <m/>
    <s v="Apgaismotas ietves izbūve no Saulgriežu ielas līdz Ezera ielai. Lietišķās atpūtas vietu izvietošana(S tips)"/>
    <s v="Lietišķās atpūtas vieta (S)"/>
    <s v="Lietišķās atpūtas vieta (S)"/>
    <n v="2"/>
    <s v="gab."/>
    <n v="2765"/>
    <n v="5530"/>
    <n v="1000"/>
    <n v="0.15"/>
    <n v="5"/>
    <n v="9000"/>
    <n v="60000"/>
    <n v="0.61444444444444446"/>
    <n v="9.2166666666666661E-2"/>
    <n v="3"/>
  </r>
  <r>
    <s v="B12"/>
    <x v="96"/>
    <s v="Baloži"/>
    <s v="Lapenieku ielas gājēju un velosipēdistu infrastruktūra"/>
    <s v="-"/>
    <s v="-"/>
    <s v="Potenciāla publiskā ārtelpa"/>
    <s v="Ieklāts asfalts Ezera ielā posmā no Uzvaras prospekts 31 līdz Miglas ielai. Paredzēta gājēju un veloinfrastruktūra. "/>
    <s v="Final"/>
    <s v="Transporta infrastuktūra (Gājēju un velosipēdu infrasturktūra),  Lietišķās atpūtas vietas"/>
    <m/>
    <m/>
    <m/>
    <m/>
    <s v="Apgaismotas gājēju ietves izbūve no Ezera ielas līdz Uzvaras prospektam. Lietišķās atpūtas vietu izvietošana(S tips)"/>
    <s v="Transporta infrastruktūra - kājāmgājēju un velosipedistu infrastruktūras pilnveidošana"/>
    <s v="Transporta infrastruktūra - kājāmgājēju un velosipedistu infrastruktūras pilnveidošana (asfalts)"/>
    <n v="3000"/>
    <s v="m2"/>
    <n v="55"/>
    <m/>
    <n v="1000"/>
    <n v="0.25"/>
    <n v="10"/>
    <n v="30000"/>
    <n v="120000"/>
    <n v="0"/>
    <n v="0"/>
    <n v="3"/>
  </r>
  <r>
    <s v="B12"/>
    <x v="97"/>
    <s v="Baloži"/>
    <s v="Lapenieku ielas gājēju un velosipēdistu infrastruktūra"/>
    <s v="-"/>
    <s v="-"/>
    <s v="Potenciāla publiskā ārtelpa"/>
    <s v="Izveidotas atpūtas vietas."/>
    <s v="Final "/>
    <s v="Transporta infrastuktūra (Gājēju un velosipēdu infrasturktūra),  Lietišķās atpūtas vietas"/>
    <m/>
    <m/>
    <m/>
    <m/>
    <s v="Apgaismotas gājēju ietves izbūve no Ezera ielas līdz Uzvaras prospektam. Lietišķās atpūtas vietu izvietošana(S tips)"/>
    <s v="Lietišķās atpūtas vieta (S)"/>
    <s v="Lietišķās atpūtas vieta (S)"/>
    <n v="2"/>
    <s v="gab."/>
    <n v="2765"/>
    <m/>
    <n v="1000"/>
    <n v="0.15"/>
    <n v="5"/>
    <n v="9000"/>
    <n v="60000"/>
    <n v="0"/>
    <n v="0"/>
    <n v="3"/>
  </r>
  <r>
    <s v="B13"/>
    <x v="98"/>
    <s v="Baloži"/>
    <s v="Uzvaras prospekta gājēju un velosipēdistu infrastuktūra."/>
    <n v="80070010430"/>
    <s v="Pašvaldība"/>
    <s v="Potenciāla publiskā ārtelpa"/>
    <s v="Ir veikta Uzvaras prospekta rekonstrukcija."/>
    <s v="Final "/>
    <s v="Transporta infrastuktūra (Gājēju un velosipēdu infrasturktūra),  Lietišķās atpūtas vietas"/>
    <m/>
    <m/>
    <m/>
    <m/>
    <s v="Rekonstruēt bojāto ietves segumu, veidot ietves līdz Lapenieku ceļam."/>
    <s v="Transporta infrastruktūra - kājāmgājēju un velosipedistu infrastruktūras pilnveidošana"/>
    <s v="Transporta infrastruktūra - kājāmgājēju un velosipedistu infrastruktūras pilnveidošana (asfalts)"/>
    <n v="27400"/>
    <s v="m2"/>
    <n v="55"/>
    <m/>
    <n v="1000"/>
    <n v="0.25"/>
    <n v="10"/>
    <n v="30000"/>
    <n v="120000"/>
    <n v="0"/>
    <n v="0"/>
    <n v="1"/>
  </r>
  <r>
    <s v="B13"/>
    <x v="99"/>
    <s v="Baloži"/>
    <s v="Uzvaras prospekta gājēju un velosipēdistu infrastuktūra."/>
    <n v="80070010430"/>
    <s v="Pašvaldība"/>
    <s v="Potenciāla publiskā ārtelpa"/>
    <s v="Ir veikta Uzvaras prospekta rekonstrukcija."/>
    <s v="Final "/>
    <s v="Transporta infrastuktūra (Gājēju un velosipēdu infrasturktūra),  Lietišķās atpūtas vietas"/>
    <m/>
    <m/>
    <m/>
    <m/>
    <s v="Rekonstruēt bojāto ietves segumu, veidot ietves līdz Lapenieku ceļam."/>
    <s v="Lietišķās atpūtas vieta (S)"/>
    <s v="Lietišķās atpūtas vieta (S)"/>
    <n v="3"/>
    <s v="gab."/>
    <n v="2765"/>
    <m/>
    <n v="1000"/>
    <n v="0.15"/>
    <n v="5"/>
    <n v="9000"/>
    <n v="60000"/>
    <n v="0"/>
    <n v="0"/>
    <n v="1"/>
  </r>
  <r>
    <s v="B14"/>
    <x v="100"/>
    <s v="Baloži"/>
    <s v="Sabiedriskā transporta pieturas  &quot;Sūkņu stacija&quot; labiekārtojums pie zemes gabala Baložu ielā 4"/>
    <n v="80070010206"/>
    <s v="Valsts"/>
    <s v="Potenciāla publiskā ārtelpa"/>
    <m/>
    <m/>
    <s v="Sabiedriskā  transporta pieturas"/>
    <m/>
    <m/>
    <m/>
    <m/>
    <s v="Veikt pieturas pārbūvi, veidojot kā L tipa sabiedriskā transporta pieturu."/>
    <s v="Lietišķās atpūtas vieta (L)"/>
    <s v="Lietišķās atpūtas vieta (L)"/>
    <n v="2"/>
    <s v="gab."/>
    <n v="7160"/>
    <n v="14320"/>
    <n v="500"/>
    <n v="0.15"/>
    <n v="20"/>
    <n v="18000"/>
    <n v="120000"/>
    <n v="0.79555555555555557"/>
    <n v="0.11933333333333333"/>
    <n v="1"/>
  </r>
  <r>
    <s v="B15"/>
    <x v="101"/>
    <s v="Baloži"/>
    <s v="Sabiedriskā transporta pieturas &quot;Baloži&quot; pie zemes gabala Rīgas ielā 19"/>
    <n v="80070021435"/>
    <s v="Valsts"/>
    <s v="Potenciāla publiskā ārtelpa"/>
    <m/>
    <m/>
    <s v="Sabiedriskā  transporta pieturas"/>
    <m/>
    <m/>
    <m/>
    <m/>
    <s v="Veikt pieturas pārbūvi, veidojot kā L tipa sabiedriskā transporta pieturu."/>
    <s v="Lietišķās atpūtas vieta (L)"/>
    <s v="Lietišķās atpūtas vieta (L)"/>
    <n v="2"/>
    <s v="gab."/>
    <n v="7160"/>
    <n v="14320"/>
    <n v="2500"/>
    <n v="0.15"/>
    <n v="20"/>
    <n v="90000"/>
    <n v="600000"/>
    <n v="0.15911111111111112"/>
    <n v="2.3866666666666668E-2"/>
    <n v="1"/>
  </r>
  <r>
    <s v="B16"/>
    <x v="102"/>
    <s v="Baloži"/>
    <s v="Sabiedriskā transporta pietura &quot;Skola&quot; pie zemes gabala Rīgas ielā 14"/>
    <n v="80070021435"/>
    <s v="Valsts"/>
    <s v="Potenciāla publiskā ārtelpa"/>
    <m/>
    <m/>
    <s v="Sabiedriskā  transporta pieturas"/>
    <m/>
    <m/>
    <m/>
    <m/>
    <s v="Veikt pieturas pārbūvi, veidojot kā L tipa sabiedriskā transporta pieturu."/>
    <s v="Lietišķās atpūtas vieta (L)"/>
    <s v="Lietišķās atpūtas vieta (L)"/>
    <n v="2"/>
    <s v="gab."/>
    <n v="7160"/>
    <n v="14320"/>
    <n v="2500"/>
    <n v="0.15"/>
    <n v="20"/>
    <n v="90000"/>
    <n v="600000"/>
    <n v="0.15911111111111112"/>
    <n v="2.3866666666666668E-2"/>
    <n v="1"/>
  </r>
  <r>
    <s v="R25"/>
    <x v="103"/>
    <s v="Valdlauči"/>
    <s v="Valdlauču parks starp Meistaru ielu un autoceļu V1 (Valdlauči - Rāmava)"/>
    <n v="80700010045"/>
    <s v="Pašvaldība"/>
    <s v="Esoša publiskā ārtelpa"/>
    <s v="Papildināts ar rotaļu elementiem"/>
    <m/>
    <s v="Dabas un apstādījumu teritorija (Skvērs, Parks, Mežaparks), Aktīvās atpūtas teritorija (Stadions, sporta laukumi)"/>
    <s v="Augsts"/>
    <s v="Vidējs"/>
    <s v="Zems"/>
    <s v="Augsts"/>
    <s v="Ceļu tīkls un bērnu rotaļu un sporta zonu robežu definēšana - segumi zem rotaļu iekārtām"/>
    <s v="Parks"/>
    <s v="Parks "/>
    <n v="28000"/>
    <s v="m2"/>
    <n v="50"/>
    <n v="1400000"/>
    <n v="4000"/>
    <n v="1"/>
    <n v="15"/>
    <n v="720000"/>
    <n v="720000"/>
    <n v="1.9444444444444444"/>
    <n v="1.9444444444444444"/>
    <n v="3"/>
  </r>
  <r>
    <s v="R26"/>
    <x v="104"/>
    <s v="Valdlauči"/>
    <s v="Atpūtas ielas posma pārveide par koplietošanas ielas telpu ar prioritāti gājējiem, tilts pāri Olektes upei"/>
    <n v="80700010120"/>
    <s v="Pašvaldība"/>
    <s v="Potenciāla publiskā ārtelpa"/>
    <m/>
    <m/>
    <s v="Dabas un apstādījumu teritorija (Parks, Skvērs, Mežaparks), Transporta infrastruktūras teritorija (Gājēju un velosipēdu infrastruktūra)"/>
    <s v="Zems"/>
    <s v="Vidējs"/>
    <s v="Zems"/>
    <s v="Vidējs"/>
    <s v="Norāde uz Olektes upi - savienojuma veidošana ar citām rekreācijas teritorijām"/>
    <s v="Norāžu izvietošana"/>
    <s v="Norāžu izvietošana"/>
    <n v="2"/>
    <s v="gab."/>
    <n v="90"/>
    <n v="180"/>
    <n v="4000"/>
    <n v="0.5"/>
    <n v="10"/>
    <n v="240000"/>
    <n v="480000"/>
    <n v="7.5000000000000002E-4"/>
    <n v="3.7500000000000001E-4"/>
    <n v="1"/>
  </r>
  <r>
    <s v="R27"/>
    <x v="105"/>
    <s v="Valdlauči"/>
    <s v="Sabiedriskā transporta pietura &quot;Valdlauču centrs&quot; uz Bauskas ielas (autoceļa V1 Valdlauči - Rāmava)"/>
    <n v="80700010083"/>
    <s v="Valsts"/>
    <s v="Potenciāla publiskā ārtelpa"/>
    <m/>
    <m/>
    <s v="Sabiedriskā  transporta pieturas"/>
    <m/>
    <m/>
    <m/>
    <m/>
    <s v="Veikt pieturas pārbūvi, veidojot kā L tipa sabiedriskā transporta pieturu."/>
    <s v="Lietišķās atpūtas vieta (L)"/>
    <s v="Lietišķās atpūtas vieta (L)"/>
    <n v="2"/>
    <s v="gab."/>
    <n v="7160"/>
    <n v="14320"/>
    <n v="2000"/>
    <n v="0.15"/>
    <n v="20"/>
    <n v="72000"/>
    <n v="480000"/>
    <n v="0.19888888888888889"/>
    <n v="2.9833333333333333E-2"/>
    <n v="1"/>
  </r>
  <r>
    <s v="R28"/>
    <x v="106"/>
    <s v="Valdlauči"/>
    <s v="Mazās Rāmavas ielas gājēju un velosipēdistu infrastruktūra"/>
    <n v="80700010084"/>
    <s v="Pašvaldība"/>
    <s v="Potenciāla publiskā ārtelpa"/>
    <m/>
    <m/>
    <s v="Transporta infrastuktūra( Gājēju un velosipēdu infrasturktūra),  Lietišķās atpūtas vietas"/>
    <m/>
    <m/>
    <m/>
    <m/>
    <s v="Ceļa un  ietves. Gājēju ielas - iespējams) izbūve no  V2 līdz Bauskas ielai. Lietišķās atpūtas vietu izvietošana."/>
    <s v="Transporta infrastruktūra - kājāmgājēju un velosipedistu infrastruktūras pilnveidošana"/>
    <s v="Transporta infrastruktūra - kājāmgājēju un velosipedistu infrastruktūras pilnveidošana (asfalts)"/>
    <n v="6700"/>
    <s v="m2"/>
    <n v="55"/>
    <n v="368500"/>
    <n v="1000"/>
    <n v="0.25"/>
    <n v="10"/>
    <n v="30000"/>
    <n v="120000"/>
    <n v="12.283333333333333"/>
    <n v="3.0708333333333333"/>
    <n v="7"/>
  </r>
  <r>
    <s v="R28"/>
    <x v="107"/>
    <s v="Valdlauči"/>
    <s v="Mazās Rāmavas ielas gājēju un velosipēdistu infrastruktūra"/>
    <n v="80700010084"/>
    <s v="Pašvaldība"/>
    <s v="Potenciāla publiskā ārtelpa"/>
    <m/>
    <m/>
    <s v="Transporta infrastuktūra( Gājēju un velosipēdu infrasturktūra),  Lietišķās atpūtas vietas"/>
    <m/>
    <m/>
    <m/>
    <m/>
    <s v="Ceļa un  ietves. Gājēju ielas - iespējams) izbūve no  V2 līdz Bauskas ielai. Lietišķās atpūtas vietu izvietošana."/>
    <s v="Lietišķās atpūtas vieta (S)"/>
    <s v="Lietišķās atpūtas vieta (S)"/>
    <n v="3"/>
    <s v="gab."/>
    <n v="2765"/>
    <n v="8295"/>
    <n v="1000"/>
    <n v="0.15"/>
    <n v="5"/>
    <n v="9000"/>
    <n v="60000"/>
    <n v="0.92166666666666663"/>
    <n v="0.13825000000000001"/>
    <n v="7"/>
  </r>
  <r>
    <s v="D1"/>
    <x v="108"/>
    <s v="Daugmale"/>
    <s v="Daugmales pilskalns"/>
    <n v="80560010225"/>
    <s v="Fiziska persona"/>
    <s v="Esoša publiskā ārtelpa"/>
    <s v="Iztīrīta aizaugusī Varžupīte. Uzstādīts info stends."/>
    <s v="Final"/>
    <s v="Dabas un apstādījumu teritorija (Parks, Skvērs, Mežaparks), Kultūrvēsturiska teritorija, Atpūtas vieta pie ūdens"/>
    <s v="Zems"/>
    <s v="Zems"/>
    <s v="Augsts"/>
    <s v="Vidējs"/>
    <s v="Pieejamības uzlabošana  ierīkojot gājēju ceļu tīklu un  lietisķās atpūtas vietas (L tipa pie &quot;ieejas zonas&quot; un S tipa pārējā teritorijā)"/>
    <s v="Transporta infrastruktūra - kājāmgājēju infrastruktūras pilnveidošana"/>
    <s v="Transporta infrastruktūra - kājāmgājēju infrastruktūras pilnveidošana (bruģis)"/>
    <n v="300"/>
    <s v="m2"/>
    <n v="55"/>
    <m/>
    <n v="2000"/>
    <n v="1"/>
    <n v="1"/>
    <n v="24000"/>
    <n v="24000"/>
    <n v="0"/>
    <n v="0"/>
    <n v="7"/>
  </r>
  <r>
    <s v="D1"/>
    <x v="109"/>
    <s v="Daugmale"/>
    <s v="Daugmales pilskalns"/>
    <n v="80560010225"/>
    <s v="Fiziska persona"/>
    <s v="Esoša publiskā ārtelpa"/>
    <m/>
    <m/>
    <s v="Dabas un apstādījumu teritorija (Parks, Skvērs, Mežaparks), Kultūrvēsturiska teritorija, Atpūtas vieta pie ūdens"/>
    <s v="Zems"/>
    <s v="Zems"/>
    <s v="Augsts"/>
    <s v="Vidējs"/>
    <s v="Pieejamības uzlabošana  ierīkojot gājēju ceļu tīklu un  lietisķās atpūtas vietas (L tipa pie &quot;ieejas zonas&quot; un S tipa pārējā teritorijā)"/>
    <s v="Lietišķās atpūtas vieta (M)"/>
    <s v="Lietišķās atpūtas vieta (M)"/>
    <n v="2"/>
    <s v="gab."/>
    <n v="3150"/>
    <n v="6300"/>
    <n v="2000"/>
    <n v="0.3"/>
    <n v="1"/>
    <n v="7200"/>
    <n v="24000"/>
    <n v="0.875"/>
    <n v="0.26250000000000001"/>
    <n v="7"/>
  </r>
  <r>
    <s v="D2"/>
    <x v="110"/>
    <s v="Daugmale"/>
    <s v="Pašvaldības īpašums &quot;Vedmeri&quot;, Senču svētkalniņš. Vedmeru parks"/>
    <s v="80560020264 (labiekārtotā atpūtas vieta pie ūdens)"/>
    <s v="Pašvaldība"/>
    <s v="Esoša publiskā ārtelpa"/>
    <s v=" Uzlabota laivu ielaišanas vieta ūdenī. "/>
    <m/>
    <s v="Dabas un apstādījumu teritorija (Skvērs, Parks, Mežaparks), Aktīvās atpūtas teritorija (Stadions, sporta laukumi), Atpūtas vieta pie ūdens"/>
    <s v="Vidējs"/>
    <s v="Vidējs"/>
    <s v="Augsts"/>
    <s v="Vidējs"/>
    <s v="Gājēju ceļu tīkls, gar ceļiem S tipa lietišķās atpūtas vietas, piknika vietas/skatu vietas (L tipa lietišķās atpūtas vieta). Nepieciešama pameža tīrīšana 10 m no gājēju ceļa ass."/>
    <s v="Mežaparks"/>
    <s v="Mežaparks"/>
    <n v="32000"/>
    <s v="m2"/>
    <n v="25"/>
    <n v="800000"/>
    <n v="2500"/>
    <n v="1.5"/>
    <n v="2"/>
    <n v="90000"/>
    <n v="60000"/>
    <n v="8.8888888888888893"/>
    <n v="13.333333333333334"/>
    <n v="7"/>
  </r>
  <r>
    <s v="D3"/>
    <x v="111"/>
    <s v="Daugmale"/>
    <s v="Atpūtas vieta pie ūdens pretī Nāvessalai (Ķīķerītis)"/>
    <n v="80560020307"/>
    <s v="Fiziska persona"/>
    <s v="Esoša publiskā ārtelpa"/>
    <m/>
    <m/>
    <s v="Dabas un apstādījumu teritorija (Skvērs, Parks, Mežaparks), Aktīvās atpūtas teritorija (Stadions, sporta laukumi), Atpūtas vieta pie ūdens"/>
    <s v="Zems"/>
    <s v="Vidējs"/>
    <s v="Vidējs"/>
    <s v="Vidējs"/>
    <s v="Pieejamības uzlabošana savienojot to ar citām rekreācijas teritorijām, lietišķās atpūtas vietas labiekārtojuma papildināšana (L tipa), informatīvas zīmes par Nāves salas vēsturisko nozīmi"/>
    <s v="Parks"/>
    <s v="Parks "/>
    <n v="4000"/>
    <s v="m2"/>
    <n v="50"/>
    <n v="200000"/>
    <n v="2500"/>
    <n v="1.5"/>
    <n v="3"/>
    <n v="135000"/>
    <n v="90000"/>
    <n v="1.4814814814814814"/>
    <n v="2.2222222222222223"/>
    <n v="3"/>
  </r>
  <r>
    <s v="D3"/>
    <x v="112"/>
    <m/>
    <s v="Atpūtas vieta pie ūdens pretī Nāvessalai (Ķīķerītis)"/>
    <n v="80560020307"/>
    <s v="Fiziska persona"/>
    <s v="Esoša publiskā ārtelpa"/>
    <m/>
    <m/>
    <s v="Dabas un apstādījumu teritorija (Skvērs, Parks, Mežaparks), Aktīvās atpūtas teritorija (Stadions, sporta laukumi), Atpūtas vieta pie ūdens"/>
    <m/>
    <m/>
    <m/>
    <m/>
    <s v="Laivu piestātnes izbūve Nāvessalas ceļa galā"/>
    <s v="Atpūtas vietas pie ūdens  labiekārtojums."/>
    <s v="Laivu nolaišanas vietas ūdenī izbūve"/>
    <n v="1"/>
    <s v="gab."/>
    <n v="15000"/>
    <n v="15000"/>
    <n v="1000"/>
    <n v="1.5"/>
    <n v="3"/>
    <n v="54000"/>
    <n v="36000"/>
    <n v="0.27777777777777779"/>
    <n v="0.41666666666666669"/>
    <n v="2"/>
  </r>
  <r>
    <s v="D4"/>
    <x v="113"/>
    <s v="Daugmale"/>
    <s v="Daugmales pagasta  pārvaldes priekšlaukums, “Salnas”, Daugmale"/>
    <n v="80560020270"/>
    <s v="Pašvaldība"/>
    <s v="Esoša publiskā ārtelpa"/>
    <s v="Jauns asflats. Sakārtota piebraukšana. Nav bedres. "/>
    <s v="Final"/>
    <s v="Publiskās apbūves teritorija"/>
    <s v="Augsts"/>
    <s v="Zems"/>
    <s v="Zems"/>
    <s v="Augsts"/>
    <s v="Lietišķās atpūtas vieta (L tipa) noņemt autostāvvietas funkciju"/>
    <s v="Lietišķās atpūtas vieta (L)"/>
    <s v="Lietišķās atpūtas vieta (L)"/>
    <n v="2"/>
    <s v="gab."/>
    <n v="7160"/>
    <m/>
    <n v="500"/>
    <n v="0.15"/>
    <n v="10"/>
    <n v="9000"/>
    <n v="60000"/>
    <n v="0"/>
    <n v="0"/>
    <n v="7"/>
  </r>
  <r>
    <s v="D5"/>
    <x v="114"/>
    <s v="Daugmale"/>
    <s v="Daugmales Multifunkcionālā centra priekšlaukums, “Salnas”, Daugmale"/>
    <s v="_x000a_80560020753"/>
    <s v="Pašvaldība"/>
    <s v="Esoša publiskā ārtelpa"/>
    <s v="Uzstādīts rotaļu elements. "/>
    <m/>
    <s v="Publiskās apbūves teritorija"/>
    <s v="Augsts"/>
    <s v="Augsts"/>
    <s v="Vidējs"/>
    <s v="Vidējs"/>
    <s v="- "/>
    <s v="- "/>
    <s v="Turpmākajā plānošanas procesā veicamie darbi"/>
    <n v="3000"/>
    <s v="m2"/>
    <n v="0"/>
    <n v="0"/>
    <n v="1500"/>
    <n v="0.25"/>
    <n v="20"/>
    <n v="90000"/>
    <n v="360000"/>
    <n v="0"/>
    <n v="0"/>
    <n v="7"/>
  </r>
  <r>
    <s v="D6"/>
    <x v="115"/>
    <s v="Daugmale"/>
    <s v="Daugmales pamatskola, &quot;Skola&quot;, Daugmale"/>
    <n v="80560020269"/>
    <s v="Pašvaldība"/>
    <s v="Esoša publiskā ārtelpa"/>
    <s v="Skolas sporta laukumā uzstādīts multifunkcionālās vingrošanas iekārtas."/>
    <m/>
    <s v="Publiskās apbūves teritorija"/>
    <s v="Vidējs"/>
    <s v="Augsts"/>
    <s v="Zems"/>
    <s v="Augsts"/>
    <s v="Velosipēdu zonas palielināšana. Aktīvās atpūtas zonas labiekārtojuma uzlabošana."/>
    <s v="Publiskais laukums"/>
    <s v="Publiskais laukums"/>
    <n v="4000"/>
    <s v="m2"/>
    <n v="50"/>
    <n v="200000"/>
    <n v="500"/>
    <n v="0.25"/>
    <n v="20"/>
    <n v="30000"/>
    <n v="120000"/>
    <n v="6.666666666666667"/>
    <n v="1.6666666666666667"/>
    <n v="1"/>
  </r>
  <r>
    <s v="D7"/>
    <x v="116"/>
    <s v="Daugmale"/>
    <s v="Daugmales dīķa Z-daļas parks, &quot;Vērmeles&quot;, Daugmale, pie Raģu ceļa"/>
    <s v="80560020271, 80560020640"/>
    <s v="Pašvaldība"/>
    <s v="Potenciāla publiskā ārtelpa"/>
    <m/>
    <m/>
    <s v="Dabas un apstādījumu teritorija (Parks, Skvērs, Mežaparks), Atpūtas vieta pie ūdens"/>
    <s v="Vidējs"/>
    <s v="Zems"/>
    <s v="Zems"/>
    <s v="Zems"/>
    <s v="Gājēju ceļa tīkls, ērta gājēju pāreja pāri šosejai un  lietišķās atpūtas vietas (M tipa). Potenciāli arī aktīvās atpūtas vieta - bērnu rotaļu laukums - M vai L tipa."/>
    <s v="Parks "/>
    <s v="Parks "/>
    <n v="5000"/>
    <s v="m2"/>
    <n v="50"/>
    <n v="250000"/>
    <n v="500"/>
    <n v="0.5"/>
    <n v="10"/>
    <n v="30000"/>
    <n v="60000"/>
    <n v="8.3333333333333339"/>
    <n v="4.166666666666667"/>
    <n v="7"/>
  </r>
  <r>
    <s v="D9-1"/>
    <x v="117"/>
    <s v="Daugmale"/>
    <s v="Gājēju ietve un velo infrastruktūra  no Vedmeru ceļa līdz Daugmales centram."/>
    <s v="80560020565, _x000a_80560020380"/>
    <s v="Valsts, Fiziska persona"/>
    <s v="Potenciāla publiskā ārtelpa"/>
    <m/>
    <m/>
    <s v="Transporta infrastruktūra (Gājēju un velosipēdu infrastruktūra)"/>
    <m/>
    <m/>
    <m/>
    <m/>
    <s v="Pieejamības uzlabošana ierīkojot gājēju ceļu tīklu, kāpnes pie objekta &quot;Važu rāvējs&quot;. Potenciāla vieta kāzu ceremoniju rīkošanā "/>
    <s v="Transporta infrastruktūra - kājāmgājēju un velosipedistu infrastruktūras pilnveidošana"/>
    <s v="Transporta infrastruktūra - kājāmgājēju infrastruktūras pilnveidošana (bruģis)"/>
    <n v="10000"/>
    <s v="m2"/>
    <n v="55"/>
    <n v="550000"/>
    <n v="1000"/>
    <n v="0.3"/>
    <n v="10"/>
    <n v="36000"/>
    <n v="120000"/>
    <n v="15.277777777777779"/>
    <n v="4.583333333333333"/>
    <n v="7"/>
  </r>
  <r>
    <s v="D9-2"/>
    <x v="118"/>
    <s v="Daugmale"/>
    <s v="Gājēju ietve un velo infrastruktūra  no Vedmeru ceļa līdz Daugmales centram."/>
    <s v="80560020565, _x000a_80560020380"/>
    <s v="Valsts, Fiziska persona"/>
    <s v="Potenciāla publiskā ārtelpa"/>
    <m/>
    <m/>
    <s v="Transporta infrastruktūra (Gājēju un velosipēdu infrastruktūra)"/>
    <m/>
    <m/>
    <m/>
    <m/>
    <s v="Pieejamības uzlabošana ierīkojot velo infrastruktūru"/>
    <s v="Transporta infrastruktūra - kājāmgājēju un velosipedistu infrastruktūras pilnveidošana"/>
    <s v="Transporta infrastruktūra - kājāmgājēju un velosipedistu infrastruktūras pilnveidošana (asfalts)"/>
    <n v="1500"/>
    <s v="m2"/>
    <n v="55"/>
    <n v="82500"/>
    <n v="1000"/>
    <n v="0.3"/>
    <n v="10"/>
    <n v="36000"/>
    <n v="120000"/>
    <n v="2.2916666666666665"/>
    <n v="0.6875"/>
    <n v="2"/>
  </r>
  <r>
    <s v="D10"/>
    <x v="119"/>
    <s v="Daugmale"/>
    <s v="Gājēju ietve un velo infrastruktūra no Daugmales centra līdz Bēgļu ceļam gar autoceļu P85 (Rīgas HES - Jaunjelgava)"/>
    <n v="80560020380"/>
    <s v="Valsts"/>
    <s v="Potenciāla publiskā ārtelpa"/>
    <m/>
    <m/>
    <s v="Transporta infrastruktūra (Gājēju un velosipēdu infrastruktūra)"/>
    <m/>
    <m/>
    <m/>
    <m/>
    <s v="Apgaismots  apvienotais gājēju un velosipēdu ceļš, apgaismots. Gājēju pārejas un savienojumi ar esošajām sabiedriskā transporta pieturām."/>
    <s v="Transporta infrastruktūra - kājāmgājēju un velosipedistu infrastruktūras pilnveidošana"/>
    <s v="Transporta infrastruktūra - kājāmgājēju un velosipedistu infrastruktūras pilnveidošana (asfalts)"/>
    <n v="15000"/>
    <s v="m2"/>
    <n v="55"/>
    <n v="825000"/>
    <n v="500"/>
    <n v="0.5"/>
    <n v="10"/>
    <n v="30000"/>
    <n v="60000"/>
    <n v="27.5"/>
    <n v="13.75"/>
    <n v="7"/>
  </r>
  <r>
    <s v="D11"/>
    <x v="120"/>
    <s v="Daugmale"/>
    <s v="Sabiedriskā transporta pietura &quot;Kalniņi&quot; uz autoceļa P85 (Rīgas HES - Jaujelgava) pie zemes gabala &quot;Ziedkalniņi&quot;, Daugmale"/>
    <n v="80560020380"/>
    <s v="Valsts"/>
    <s v="Potenciāla publiskā ārtelpa"/>
    <m/>
    <m/>
    <s v="Sabiedriskā  transporta pieturas"/>
    <m/>
    <m/>
    <m/>
    <m/>
    <s v="Veikt pieturas pārbūvi, veidojot  M tipa sabiedriskā transporta pieturu."/>
    <s v="Lietišķās atpūtas vieta (M)"/>
    <s v="Lietišķās atpūtas vieta (M)"/>
    <n v="2"/>
    <s v="gab."/>
    <n v="3150"/>
    <n v="6300"/>
    <n v="250"/>
    <n v="0.3"/>
    <n v="8"/>
    <n v="7200"/>
    <n v="24000"/>
    <n v="0.875"/>
    <n v="0.26250000000000001"/>
    <n v="1"/>
  </r>
  <r>
    <s v="D12"/>
    <x v="121"/>
    <s v="Daugmale"/>
    <s v="Lietišķās atpūtas vietas gar P85 no Salaspils rotacijas apļa līdz Daugmalei"/>
    <n v="80560020380"/>
    <s v="Valsts"/>
    <s v="Potenciāla publiskā ārtelpa"/>
    <m/>
    <m/>
    <s v="Lietišķās atpūtas vietas"/>
    <m/>
    <m/>
    <m/>
    <m/>
    <s v="Papildināt P85 šosejas malas ar lietišķās atpūtas vietām (s tipa)"/>
    <s v="Lietišķās atpūtas vieta (S)"/>
    <s v="Lietišķās atpūtas vieta (S)"/>
    <n v="7"/>
    <s v="gab."/>
    <n v="2765"/>
    <n v="19355"/>
    <n v="200"/>
    <n v="0.3"/>
    <n v="8"/>
    <n v="5760"/>
    <n v="19200"/>
    <n v="3.3602430555555554"/>
    <n v="1.0080729166666667"/>
    <n v="1"/>
  </r>
  <r>
    <s v="D13"/>
    <x v="122"/>
    <s v="Daugmale"/>
    <s v="Sabiedriskā transporta pietura &quot;Nabiņas&quot; uz autoceļa V9 (Iecava - Baldone - Daugmale)"/>
    <n v="80560020465"/>
    <s v="Valsts"/>
    <s v="Potenciāla publiskā ārtelpa"/>
    <m/>
    <m/>
    <s v="Sabiedriskā  transporta pieturas"/>
    <m/>
    <m/>
    <m/>
    <m/>
    <s v="Uzlabot pieturas labiekārtojumu."/>
    <s v="Lietišķās atpūtas vieta (S)"/>
    <s v="Lietišķās atpūtas vieta (S)"/>
    <n v="2"/>
    <s v="gab."/>
    <n v="2765"/>
    <n v="5530"/>
    <n v="50"/>
    <n v="0.3"/>
    <n v="8"/>
    <n v="1440"/>
    <n v="4800"/>
    <n v="3.8402777777777777"/>
    <n v="1.1520833333333333"/>
    <n v="1"/>
  </r>
  <r>
    <s v="D14"/>
    <x v="123"/>
    <s v="Daugmale"/>
    <s v="Sabiedriskā transporta pietura &quot;Celmi&quot; uz autoceļa V9 (Iecava - Baldone - Daugmale)"/>
    <n v="80560020465"/>
    <s v="Valsts"/>
    <s v="Potenciāla publiskā ārtelpa"/>
    <m/>
    <m/>
    <s v="Sabiedriskā  transporta pieturas"/>
    <m/>
    <m/>
    <m/>
    <m/>
    <s v="Uzlabot pieturas labiekārtojumu."/>
    <s v="Lietišķās atpūtas vieta (S)"/>
    <s v="Lietišķās atpūtas vieta (S)"/>
    <n v="2"/>
    <s v="gab."/>
    <n v="2765"/>
    <n v="5530"/>
    <n v="50"/>
    <n v="0.3"/>
    <n v="8"/>
    <n v="1440"/>
    <n v="4800"/>
    <n v="3.8402777777777777"/>
    <n v="1.1520833333333333"/>
    <n v="1"/>
  </r>
  <r>
    <s v="D15"/>
    <x v="124"/>
    <s v="Daugmale"/>
    <s v="Sabiedriskā transporta pietura &quot;Ezeri&quot; uz autoceļa V9 (Iecava - Baldone - Daugmale)"/>
    <n v="80560020465"/>
    <s v="Valsts"/>
    <s v="Potenciāla publiskā ārtelpa"/>
    <m/>
    <m/>
    <s v="Sabiedriskā  transporta pieturas"/>
    <m/>
    <m/>
    <m/>
    <m/>
    <s v="Uzlabot pieturas labiekārtojumu."/>
    <s v="Lietišķās atpūtas vieta (S)"/>
    <s v="Lietišķās atpūtas vieta (S)"/>
    <n v="2"/>
    <s v="gab."/>
    <n v="2765"/>
    <n v="5530"/>
    <n v="50"/>
    <n v="0.3"/>
    <n v="8"/>
    <n v="1440"/>
    <n v="4800"/>
    <n v="3.8402777777777777"/>
    <n v="1.1520833333333333"/>
    <n v="1"/>
  </r>
  <r>
    <s v="D16"/>
    <x v="125"/>
    <s v="Daugmale"/>
    <s v="Sabiedriskā transporta pietura &quot;Lejas ezers&quot; uz autoceļa V9 (Iecava - Baldone - Daugmale)"/>
    <n v="80560020465"/>
    <s v="Valsts"/>
    <s v="Potenciāla publiskā ārtelpa"/>
    <m/>
    <m/>
    <s v="Sabiedriskā  transporta pieturas"/>
    <m/>
    <m/>
    <m/>
    <m/>
    <s v="Uzlabot pieturas labiekārtojumu."/>
    <s v="Lietišķās atpūtas vieta (M)"/>
    <s v="Lietišķās atpūtas vieta (M)"/>
    <n v="2"/>
    <s v="gab."/>
    <n v="3150"/>
    <n v="6300"/>
    <n v="200"/>
    <n v="0.3"/>
    <n v="10"/>
    <n v="7200"/>
    <n v="24000"/>
    <n v="0.875"/>
    <n v="0.26250000000000001"/>
    <n v="1"/>
  </r>
  <r>
    <s v="D17"/>
    <x v="126"/>
    <s v="Daugmale"/>
    <s v="Atpūtas vieta pie Rīgas HES dambja dienvidaustrumu pusē (HES apkalpes ceļa galā)"/>
    <n v="80700120268"/>
    <s v="Fiziska persona"/>
    <s v="Potenciāla publiskā ārtelpa"/>
    <s v="Joprojām diskusija par piekļuvi ar īpašniekiem"/>
    <m/>
    <s v="Dabas un apstādījumu teritorija (Parks, Skvērs, Mežaparks), Atpūtas vieta pie ūdens"/>
    <m/>
    <m/>
    <m/>
    <m/>
    <m/>
    <m/>
    <s v="Atpūtas vieta pie ūdens, labiekārtošana"/>
    <n v="1"/>
    <s v="gab."/>
    <n v="7160"/>
    <n v="7160"/>
    <n v="500"/>
    <n v="1"/>
    <n v="6"/>
    <n v="36000"/>
    <n v="36000"/>
    <n v="0.19888888888888889"/>
    <n v="0.19888888888888889"/>
    <n v="7"/>
  </r>
  <r>
    <s v="Dz1"/>
    <x v="127"/>
    <s v="Dzērumi"/>
    <s v="Dzērumu ciema aktīvās atpūtas laukums, Aviators 71 "/>
    <n v="80700181736"/>
    <s v="Pašvaldība"/>
    <s v="Potenciāla publiskā ārtelpa"/>
    <m/>
    <m/>
    <s v="Dabas un apstādījumu teritorija (Skvērs, Parks, Mežaparks), Aktīvās atpūtas teritorija (Stadions, sporta laukumi), Atpūtas vieta pie ūdens"/>
    <m/>
    <m/>
    <m/>
    <m/>
    <s v="Izveidot jaunu atpūtas vietu Dzērumu ciemā, ka sparedzēta visu vecumu iedzīvotājiem. Ietvert sporta laikumu, rotālu laukumu. "/>
    <s v="Aktīvās atpūtas labiekārtojuma  (L vai XL tipa)"/>
    <s v="Aktīvās atpūtas labiekārtojums  (L vai XL)"/>
    <n v="1"/>
    <s v="gab."/>
    <n v="45100"/>
    <n v="45100"/>
    <n v="300"/>
    <n v="1"/>
    <n v="3"/>
    <n v="10800"/>
    <n v="10800"/>
    <n v="4.1759259259259256"/>
    <n v="4.1759259259259256"/>
    <n v="1"/>
  </r>
  <r>
    <s v="BL1"/>
    <x v="128"/>
    <s v="Baldone"/>
    <s v="Baldones vidusskolas priekšlaukums pret Iecavas ielu,_x000a_Iecavas iela 2, Baldone"/>
    <n v="80050010218"/>
    <s v="Pašvaldība"/>
    <s v="Esoša publiskā ārtelpa"/>
    <m/>
    <m/>
    <s v="Publiskās apbūves teritorija"/>
    <s v="Augsts"/>
    <s v="Vidējs"/>
    <s v="Vidējs"/>
    <s v="Augsts"/>
    <s v="Teritorijas zaļās zonas papildināšana ar apstādījumiem."/>
    <s v="Esošā labiekārtojuma pilnveidošana"/>
    <s v="Esošā labiekārtojuma pilnveidošana"/>
    <n v="500"/>
    <s v="m2"/>
    <n v="50"/>
    <n v="25000"/>
    <n v="1000"/>
    <n v="0.01"/>
    <n v="15"/>
    <n v="1800"/>
    <n v="180000"/>
    <n v="13.888888888888889"/>
    <n v="0.1388888888888889"/>
    <n v="1"/>
  </r>
  <r>
    <s v="BL2"/>
    <x v="129"/>
    <s v="Baldone"/>
    <s v="Centrālais skvērs,_x000a_Daugavas iela 2, Baldone"/>
    <n v="80050011714"/>
    <s v="Pašvaldība"/>
    <s v="Esoša publiskā ārtelpa"/>
    <m/>
    <m/>
    <s v="Dabas un apstādījumu teritorija"/>
    <s v="Augsts"/>
    <s v="Vidējs"/>
    <s v="Augsts"/>
    <s v="Augsts"/>
    <s v="Segumu atjaunošana. Lietišķās atpūtas vietas sakārtošana, papildināšana ar velonovietnēm, soliņiem"/>
    <s v="Esošā labiekārtojuma pilnveidošana"/>
    <s v="Esošā labiekārtojuma pilnveidošana"/>
    <n v="2500"/>
    <s v="m2"/>
    <n v="50"/>
    <n v="125000"/>
    <n v="2000"/>
    <n v="0.2"/>
    <n v="8"/>
    <n v="38400"/>
    <n v="192000"/>
    <n v="3.2552083333333335"/>
    <n v="0.65104166666666663"/>
    <n v="1"/>
  </r>
  <r>
    <s v="BL3"/>
    <x v="130"/>
    <s v="Baldone"/>
    <s v="Baldones kinoteātra (kultūras nama) pieguļošā teritorija,_x000a_Daugavas iela 2, Baldone"/>
    <n v="80050011714"/>
    <s v="Pašvaldība"/>
    <s v="Esoša publiskā ārtelpa"/>
    <m/>
    <m/>
    <s v="Dabas un apstādījumu teritorija"/>
    <s v="Augsts"/>
    <s v="Zems"/>
    <s v="Vidējs"/>
    <s v="Vidējs"/>
    <s v="Segumu atjaunošana. Esošā piemiņas akmens pārcelšana uz Ceriņa parka teritoriju. Navigācijas norādes pie kinoteātra. Informācija par objektu &quot;Kultūras nams&quot;"/>
    <s v="Esošā labiekārtojuma pilnveidošana. Norāžu izvietošana."/>
    <s v="Esošā labiekārtojuma pilnveidošana"/>
    <n v="1000"/>
    <s v="m2"/>
    <n v="50"/>
    <n v="50000"/>
    <n v="2000"/>
    <n v="0.05"/>
    <n v="4"/>
    <n v="4800"/>
    <n v="96000"/>
    <n v="10.416666666666666"/>
    <n v="0.52083333333333337"/>
    <n v="1"/>
  </r>
  <r>
    <s v="BL4"/>
    <x v="131"/>
    <s v="Baldone"/>
    <s v="Sabiedriskā transporta pietura &quot;Baznīca&quot; pie centrālā skvēra, Daugavas iela 2, Baldone"/>
    <n v="80050011714"/>
    <s v="Pašvaldība"/>
    <s v="Esoša publiskā ārtelpa"/>
    <m/>
    <m/>
    <s v="Sabiedriskā transporta pieturas"/>
    <m/>
    <m/>
    <m/>
    <m/>
    <s v="Nojumes izbūve"/>
    <s v="Sabiedriskā transporta pietura (M)"/>
    <s v="Sabiedriskā transporta pietura (M)"/>
    <n v="1"/>
    <s v="gab."/>
    <n v="6890"/>
    <n v="6890"/>
    <n v="2000"/>
    <n v="0.05"/>
    <n v="4"/>
    <n v="4800"/>
    <n v="96000"/>
    <n v="1.4354166666666666"/>
    <n v="7.1770833333333339E-2"/>
    <n v="2"/>
  </r>
  <r>
    <s v="BL5"/>
    <x v="132"/>
    <s v="Baldone"/>
    <s v="Sabiedriskā transporta gala pietura &quot;Baldone&quot; teritorija,_x000a_Rīgas iela 91, Baldone"/>
    <n v="80050013806"/>
    <s v="Pašvaldība"/>
    <s v="Esoša publiskā ārtelpa"/>
    <m/>
    <m/>
    <s v="Sabiedriskā transporta pieturas"/>
    <m/>
    <m/>
    <m/>
    <m/>
    <s v="Veikt pieturas pārbūvi veidojot kā L tipa pieturu. Segumu atjaunošana. Norādes, velo novietnes, labiekārtojuma elementi,utt."/>
    <s v="Sabiedriskā transporta galapunkts (L)"/>
    <s v="Sabiedriskā transporta galapunkts (L)"/>
    <n v="1"/>
    <s v="gab."/>
    <n v="13080"/>
    <n v="13080"/>
    <n v="1200"/>
    <n v="0.15"/>
    <n v="20"/>
    <n v="43200"/>
    <n v="288000"/>
    <n v="0.30277777777777776"/>
    <n v="4.5416666666666668E-2"/>
    <n v="2"/>
  </r>
  <r>
    <s v="BL6"/>
    <x v="133"/>
    <s v="Baldone"/>
    <s v="Ceriņu parka turpinājums"/>
    <s v="80050013706, 80050011802"/>
    <s v="Pašvaldība"/>
    <s v="Potenciāla publiskā ārtelpa"/>
    <m/>
    <m/>
    <s v="Dabas un apstādījumu teritorija"/>
    <m/>
    <m/>
    <m/>
    <m/>
    <s v="Pastaigu takas (laipa) (no sēravota uz Krasta ielas pusi), apgaismojuma, lietišķās atpūtas vietas (S) izbūve._x000a_Potenciāli attīstāma vieta"/>
    <s v="Parks"/>
    <s v="Parks "/>
    <n v="5000"/>
    <s v="m2"/>
    <n v="50"/>
    <n v="250000"/>
    <n v="500"/>
    <n v="0.15"/>
    <n v="20"/>
    <n v="18000"/>
    <n v="120000"/>
    <n v="13.888888888888889"/>
    <n v="2.0833333333333335"/>
    <n v="2"/>
  </r>
  <r>
    <s v="BL7"/>
    <x v="134"/>
    <s v="Baldone"/>
    <s v="Baldones dīķa atpūtas vieta &quot;Saliņas&quot;"/>
    <s v="_x000a_80250060213"/>
    <s v="Pašvaldība"/>
    <s v="Esoša publiskā ārtelpa"/>
    <m/>
    <m/>
    <s v="Dabas un apstādījumu teritorija (Parks, Skvērs, Mežaparks), Atpūtas vieta pie ūdens"/>
    <s v="Zems"/>
    <s v="Zems"/>
    <s v="Zems"/>
    <s v="Zems"/>
    <s v="Atpūtas vietas pie ūdens labiekārtošana. Potenciāla bērnu laukuma vietas izveide"/>
    <s v="Atpūtas vietas pie ūdens un bērnu laukuma labiekārtojums."/>
    <s v="Atpūtas vieta pie ūdens, labiekārtošana"/>
    <n v="1"/>
    <s v="gab."/>
    <n v="7160"/>
    <n v="7160"/>
    <n v="3000"/>
    <n v="1.5"/>
    <n v="4"/>
    <n v="216000"/>
    <n v="144000"/>
    <n v="3.3148148148148149E-2"/>
    <n v="4.9722222222222223E-2"/>
    <n v="2"/>
  </r>
  <r>
    <s v="BL7"/>
    <x v="135"/>
    <s v="Baldone"/>
    <s v="Baldones dīķa atpūtas vieta &quot;Saliņas&quot;"/>
    <s v="_x000a_80250060213"/>
    <s v="Pašvaldība"/>
    <m/>
    <m/>
    <m/>
    <s v="Dabas un apstādījumu teritorija (Parks, Skvērs, Mežaparks), Atpūtas vieta pie ūdens"/>
    <m/>
    <m/>
    <m/>
    <m/>
    <s v="Laivu un SUP nolaišanas vieta ūdenī."/>
    <s v="Laivu un SUP nolaišanas vieta ūdenī."/>
    <s v="Laivu nolaišanas vietas ūdenī izbūve"/>
    <n v="1"/>
    <s v="gab."/>
    <n v="15000"/>
    <n v="15000"/>
    <n v="1500"/>
    <n v="1.5"/>
    <n v="4"/>
    <n v="108000"/>
    <n v="72000"/>
    <n v="0.1388888888888889"/>
    <n v="0.20833333333333334"/>
    <n v="3"/>
  </r>
  <r>
    <s v="BL8"/>
    <x v="136"/>
    <s v="Baldone"/>
    <s v="Dabas teritorija pie Baldones dīķa &quot;Saliņas&quot;"/>
    <n v="80250060213"/>
    <s v="Pašvaldība"/>
    <s v="Potenciāla publiskā ārtelpa"/>
    <m/>
    <m/>
    <s v="Dabas un apstādījumu teritorija"/>
    <m/>
    <m/>
    <m/>
    <m/>
    <s v="Potenciāla pastaigu taka līdz Baldones zīmei. Potenciāls parks ar lietišķās atpūtas vietām, bērnu rotaļu laukumu."/>
    <s v="Parks"/>
    <s v="Parks "/>
    <n v="15000"/>
    <s v="m2"/>
    <n v="50"/>
    <n v="750000"/>
    <n v="2000"/>
    <n v="0.3"/>
    <n v="4"/>
    <n v="28800"/>
    <n v="96000"/>
    <n v="26.041666666666668"/>
    <n v="7.8125"/>
    <n v="3"/>
  </r>
  <r>
    <s v="BL9"/>
    <x v="137"/>
    <s v="Baldone"/>
    <s v="Vanagkalna iela"/>
    <n v="80250060258"/>
    <s v="Pašvaldība"/>
    <s v="Potenciāla publiskā ārtelpa"/>
    <m/>
    <m/>
    <s v="Transporta infrastruktūra (Gājēju un velosipēdu infrastruktūra)"/>
    <m/>
    <m/>
    <m/>
    <m/>
    <s v="Apgaismotas ietves izbūve līdz Vanagkalna estrādei. Lietišķās atpūtas vietas (S)"/>
    <s v="Transporta infrastruktūra - kājāmgājēju un velosipedistu infrastruktūras pilnveidošana"/>
    <s v="Transporta infrastruktūra - kājāmgājēju infrastruktūras izveide"/>
    <n v="2500"/>
    <s v="m2"/>
    <n v="42"/>
    <n v="105000"/>
    <n v="1500"/>
    <n v="0.4"/>
    <n v="15"/>
    <n v="108000"/>
    <n v="270000"/>
    <n v="0.97222222222222221"/>
    <n v="0.3888888888888889"/>
    <n v="3"/>
  </r>
  <r>
    <s v="BL10"/>
    <x v="138"/>
    <s v="Baldone"/>
    <s v="Jakaru iela - Gaismas iela"/>
    <s v="_x000a_80250060178"/>
    <s v="Pašvaldība"/>
    <s v="Potenciāla publiskā ārtelpa"/>
    <m/>
    <m/>
    <s v="Transporta infrastruktūra (Gājēju un velosipēdu infrastruktūra)"/>
    <m/>
    <m/>
    <m/>
    <m/>
    <s v="Apgaismota gājēju ceļa izbūve līdz skolai"/>
    <s v="Transporta infrastruktūra - kājāmgājēju un velosipedistu infrastruktūras pilnveidošana"/>
    <s v="Transporta infrastruktūra - kājāmgājēju infrastruktūras izveide"/>
    <n v="900"/>
    <s v="m2"/>
    <n v="42"/>
    <n v="37800"/>
    <n v="500"/>
    <n v="0.15"/>
    <n v="20"/>
    <n v="18000"/>
    <n v="120000"/>
    <n v="2.1"/>
    <n v="0.315"/>
    <n v="3"/>
  </r>
  <r>
    <s v="BL11"/>
    <x v="139"/>
    <s v="Baldone"/>
    <s v="Ciņu iela - Dzirnavu iela"/>
    <s v="_x000a_80050010324"/>
    <s v="Pašvaldība"/>
    <s v="Potenciāla publiskā ārtelpa"/>
    <m/>
    <m/>
    <s v="Transporta infrastruktūra (Gājēju un velosipēdu infrastruktūra)"/>
    <m/>
    <m/>
    <m/>
    <m/>
    <s v="Apgaismota gājēju ceļa izbūve. Tiltiņa atjaunošana"/>
    <s v="Transporta infrastruktūra - kājāmgājēju un velosipedistu infrastruktūras izveide"/>
    <s v="Transporta infrastruktūra - kājāmgājēju infrastruktūras izveide"/>
    <n v="650"/>
    <s v="m2"/>
    <n v="42"/>
    <n v="27300"/>
    <n v="300"/>
    <n v="0.15"/>
    <n v="10"/>
    <n v="5400"/>
    <n v="36000"/>
    <n v="5.0555555555555554"/>
    <n v="0.7583333333333333"/>
    <n v="3"/>
  </r>
  <r>
    <s v="BL12"/>
    <x v="140"/>
    <s v="Baldone"/>
    <s v="Esošs bērnu rotaļu laukums, _x000a_Pārupes iela 3, Baldone"/>
    <n v="80250060032"/>
    <s v="Pašvaldība"/>
    <s v="Esoša publiskā ārtelpa"/>
    <m/>
    <m/>
    <s v="Dabas un apstādījumu teritorija"/>
    <s v="Augsts"/>
    <s v="Vidējs"/>
    <s v="Vidējs"/>
    <s v="Augsts"/>
    <s v="Atjaunot un papildināt rotaļu laukumu ar rotaļu elementiem"/>
    <s v="Esošā labiekārtojuma pilnveidošana"/>
    <s v="Esošā labiekārtojuma pilnveidošana"/>
    <n v="500"/>
    <s v="m2"/>
    <n v="50"/>
    <n v="25000"/>
    <n v="500"/>
    <n v="0.5"/>
    <n v="10"/>
    <n v="30000"/>
    <n v="60000"/>
    <n v="0.83333333333333337"/>
    <n v="0.41666666666666669"/>
    <n v="1"/>
  </r>
  <r>
    <s v="BL13"/>
    <x v="141"/>
    <s v="Baldone"/>
    <s v="Baldones pārvaldes ēkas priekšlaukums, _x000a_Pārupes iela 3, Baldone"/>
    <n v="80250060032"/>
    <s v="Pašvaldība"/>
    <s v="Esoša publiskā ārtelpa"/>
    <m/>
    <m/>
    <s v="Publiskās apbūves teritorija"/>
    <s v="Augsts"/>
    <s v="Vidējs"/>
    <s v="Vidējs"/>
    <s v="Augsts"/>
    <s v="Papildināt ar kokaugu stādījumiem. Navigācijas norādes. Lietišķās atpūtas vietas gar gājēju ceļu struktūru."/>
    <s v="Esošā labiekārtojuma pilnveidošana"/>
    <s v="Esošā labiekārtojuma pilnveidošana"/>
    <n v="2500"/>
    <s v="m2"/>
    <n v="50"/>
    <n v="125000"/>
    <n v="200"/>
    <n v="0.05"/>
    <n v="2"/>
    <n v="240"/>
    <n v="4800"/>
    <n v="520.83333333333337"/>
    <n v="26.041666666666668"/>
    <n v="1"/>
  </r>
  <r>
    <s v="BL14"/>
    <x v="142"/>
    <s v="Baldone"/>
    <s v="Bērnu rotaļu laukums &quot;Zīļuks&quot; pie Atvaru ielas"/>
    <n v="80250060222"/>
    <s v="Pašvaldība"/>
    <s v="Esoša publiskā ārtelpa"/>
    <m/>
    <m/>
    <s v="Dabas un apstādījumu teritorija"/>
    <m/>
    <m/>
    <m/>
    <m/>
    <s v="Lietišķās atpūtas vietas (soliņi ar atzveltnēm, atkritumu urnas). Funkcionāla gājēju ceļu struktūra un seguma uzlabošana"/>
    <s v="Esošā labiekārtojuma pilnveidošana"/>
    <s v="Esošā labiekārtojuma pilnveidošana"/>
    <n v="500"/>
    <s v="m2"/>
    <n v="50"/>
    <n v="25000"/>
    <n v="400"/>
    <n v="0.5"/>
    <n v="10"/>
    <n v="24000"/>
    <n v="48000"/>
    <n v="1.0416666666666667"/>
    <n v="0.52083333333333337"/>
    <n v="7"/>
  </r>
  <r>
    <s v="BL15"/>
    <x v="143"/>
    <s v="Baldone"/>
    <s v="Rīgas iela no Daugavas ielas līdz Mežvidu ielai"/>
    <n v="80050011610"/>
    <s v="Pašvaldība"/>
    <s v="Potenciāla publiskā ārtelpa"/>
    <m/>
    <m/>
    <s v="Transporta infrastruktūra (Gājēju un velosipēdu infrastruktūra)"/>
    <m/>
    <m/>
    <m/>
    <m/>
    <s v="Lietišķās atpūtas vietas izbūve. Apvienotā gājēju un veloc ceļa uzlabošana (zīmes, marķējums)"/>
    <s v="Lietišķās atpūtas vietas  (S)"/>
    <s v="Lietišķās atpūtas vieta (S)"/>
    <n v="4"/>
    <s v="gab."/>
    <n v="2765"/>
    <n v="11060"/>
    <n v="600"/>
    <n v="0.25"/>
    <n v="15"/>
    <n v="27000"/>
    <n v="108000"/>
    <n v="0.40962962962962962"/>
    <n v="0.10240740740740741"/>
    <n v="1"/>
  </r>
  <r>
    <s v="BL16"/>
    <x v="144"/>
    <s v="Baldone"/>
    <s v="Baltās pils parks un teritorija, Daugavas iela 23, Baldone"/>
    <n v="80050010223"/>
    <s v="Pašvaldība"/>
    <s v="Esoša publiskā ārtelpa"/>
    <m/>
    <m/>
    <s v="Dabas un apstādījumu teritorija"/>
    <s v="Vidējs"/>
    <s v="Vidējs"/>
    <s v="Augsts"/>
    <s v="Vidējs"/>
    <s v="Saskaņotu labiekārtojuma elementu izvietošana. Segumu atjaunošana. Ceļu struktūras izbūve uz gājēju tiltiņu. Kokaugu stādījumu papildināšana blakus parka teritorijā. Aktīvās atpūtas infrastruktūras elementu un segumu atjaunošana."/>
    <s v="Esošā labiekārtojuma pilnveidošana"/>
    <s v="Esošā labiekārtojuma pilnveidošana"/>
    <n v="10000"/>
    <s v="m2"/>
    <n v="50"/>
    <n v="500000"/>
    <n v="1000"/>
    <n v="0.5"/>
    <n v="20"/>
    <n v="120000"/>
    <n v="240000"/>
    <n v="4.166666666666667"/>
    <n v="2.0833333333333335"/>
    <n v="7"/>
  </r>
  <r>
    <s v="BL17"/>
    <x v="145"/>
    <s v="Baldone"/>
    <s v="Zīļu iela"/>
    <n v="80050010197"/>
    <s v="Pašvaldība"/>
    <s v="Potenciāla publiskā ārtelpa"/>
    <m/>
    <m/>
    <s v="Transporta infrastruktūra (Gājēju un velosipēdu infrastruktūra)"/>
    <m/>
    <m/>
    <m/>
    <m/>
    <s v="Lietišķās atpūtas vietas izbūve"/>
    <s v="Lietišķās atpūtas vieta (S)"/>
    <s v="Lietišķās atpūtas vieta (S)"/>
    <n v="2"/>
    <s v="gab."/>
    <n v="2765"/>
    <n v="5530"/>
    <n v="200"/>
    <n v="0.1"/>
    <n v="10"/>
    <n v="2400"/>
    <n v="24000"/>
    <n v="2.3041666666666667"/>
    <n v="0.23041666666666666"/>
    <n v="1"/>
  </r>
  <r>
    <s v="BL18"/>
    <x v="146"/>
    <s v="Baldone"/>
    <s v="Teritorija pie Baldones zīmes uz Rīgas un Saules ielas krustojuma (pie zemes gabala Rīgas ielā 20)"/>
    <n v="80050010150"/>
    <s v="Pašvaldība"/>
    <s v="Esoša publiskā ārtelpa"/>
    <m/>
    <m/>
    <s v="Dabas un apstādījumu teritorija"/>
    <s v="Vidējs"/>
    <s v="Vidējs"/>
    <s v="Zems"/>
    <s v="Vidējs"/>
    <s v="Potenciāla pastaigas, laipas taka līdz centra dīķim. Bērnu rotaļu laukums "/>
    <s v="Esošā labiekārtojuma pilnveidošana"/>
    <s v="Esošā labiekārtojuma pilnveidošana"/>
    <n v="15000"/>
    <s v="m2"/>
    <n v="50"/>
    <n v="750000"/>
    <n v="500"/>
    <n v="0.4"/>
    <n v="1"/>
    <n v="2400"/>
    <n v="6000"/>
    <n v="312.5"/>
    <n v="125"/>
    <n v="7"/>
  </r>
  <r>
    <s v="BL19"/>
    <x v="147"/>
    <s v="Mercendarbe"/>
    <s v="Mercendarbes muižas parks"/>
    <n v="80250040121"/>
    <s v="Pašvaldība"/>
    <s v="Esoša publiskā ārtelpa"/>
    <m/>
    <m/>
    <s v="Dabas un apstādījumu teritorija"/>
    <s v="Vidējs"/>
    <s v="Vidējs"/>
    <s v="Augsts"/>
    <s v="Vidējs"/>
    <s v="Parka labiekārtošana. Ceļu, lietišķās atpūtas vietu ierīkošana, dīķa tīrīšana, laipas izveide"/>
    <s v="Esošā labiekārtojuma pilnveidošana"/>
    <s v="Esošā labiekārtojuma pilnveidošana"/>
    <n v="8000"/>
    <s v="m2"/>
    <n v="50"/>
    <n v="400000"/>
    <n v="1000"/>
    <n v="0.1"/>
    <n v="0.5"/>
    <n v="600"/>
    <n v="6000"/>
    <n v="666.66666666666663"/>
    <n v="66.666666666666671"/>
    <n v="1"/>
  </r>
  <r>
    <s v="BL20"/>
    <x v="148"/>
    <s v="Mercendarbe"/>
    <s v="Mercendarbes ceļš (liepu aleja)"/>
    <n v="80250040153"/>
    <s v="Pašvaldība"/>
    <s v="Esoša publiskā ārtelpa"/>
    <m/>
    <m/>
    <s v="Transporta infrastruktūra (Gājēju un velosipēdu infrastruktūra)"/>
    <m/>
    <m/>
    <m/>
    <m/>
    <s v="Seguma atjaunošana ar kokiem draudzīgām metodēm. Paredzēt iebrauktuves uz zemes vienībām"/>
    <s v="Esošā labiekārtojuma pilnveidošana"/>
    <s v="Esošā labiekārtojuma pilnveidošana"/>
    <n v="450"/>
    <s v="m2"/>
    <n v="50"/>
    <n v="22500"/>
    <n v="1000"/>
    <n v="0.02"/>
    <n v="0.5"/>
    <n v="120"/>
    <n v="6000"/>
    <n v="187.5"/>
    <n v="3.75"/>
    <n v="3"/>
  </r>
  <r>
    <s v="BL21"/>
    <x v="149"/>
    <s v="Baldones pagasts"/>
    <s v="Sabiedriskā transporta pietura &quot;Rasiņas&quot; uz autoceļa  V9 (Iecava - Baldone - Daugmale)"/>
    <n v="80250090227"/>
    <s v="Valsts"/>
    <s v="Esoša publiskā ārtelpa"/>
    <m/>
    <m/>
    <s v="Sabiedriskā transporta pieturas"/>
    <m/>
    <m/>
    <m/>
    <m/>
    <s v="Veikt platformas izbūvi"/>
    <s v="Lietišķās atpūtas vieta (S)"/>
    <s v="Lietišķās atpūtas vieta (S)"/>
    <n v="2"/>
    <s v="gab."/>
    <n v="2765"/>
    <n v="5530"/>
    <n v="20"/>
    <n v="0.1"/>
    <n v="5"/>
    <n v="120"/>
    <n v="1200"/>
    <n v="46.083333333333336"/>
    <n v="4.6083333333333334"/>
    <n v="1"/>
  </r>
  <r>
    <s v="BL22"/>
    <x v="150"/>
    <s v="Baldones pagasts"/>
    <s v="Sabiedriskā transporta pietura &quot;Brāļu kapi&quot; uz Rīgas ielas"/>
    <n v="80250060449"/>
    <s v="Valsts"/>
    <s v="Esoša publiskā ārtelpa"/>
    <m/>
    <m/>
    <s v="Sabiedriskā transporta pieturas"/>
    <m/>
    <m/>
    <m/>
    <m/>
    <s v="Veikt platformas izbūvi. M tipa autobusa pietura"/>
    <s v="Sabiedriskā transporta pietura (M)"/>
    <s v="Sabiedriskā transporta pietura (M)"/>
    <n v="2"/>
    <s v="gab."/>
    <n v="6890"/>
    <n v="13780"/>
    <n v="200"/>
    <n v="0.1"/>
    <n v="15"/>
    <n v="3600"/>
    <n v="36000"/>
    <n v="3.8277777777777779"/>
    <n v="0.38277777777777777"/>
    <n v="1"/>
  </r>
  <r>
    <s v="BL23"/>
    <x v="151"/>
    <s v="Vārpas"/>
    <s v="Sabiedriskā transporta pietura &quot;Senču veikals&quot;  Vārpās uz autoceļa V9 (Iecava - Baldone - Daugmale)"/>
    <n v="80250080236"/>
    <s v="Valsts"/>
    <s v="Esoša publiskā ārtelpa"/>
    <m/>
    <m/>
    <s v="Sabiedriskā transporta pieturas"/>
    <m/>
    <m/>
    <m/>
    <m/>
    <s v="M tipa autobusa pietura"/>
    <s v="Sabiedriskā transporta pietura (M)"/>
    <s v="Sabiedriskā transporta pietura (M)"/>
    <n v="2"/>
    <s v="gab."/>
    <n v="6890"/>
    <n v="13780"/>
    <n v="100"/>
    <n v="0.15"/>
    <n v="20"/>
    <n v="3600"/>
    <n v="24000"/>
    <n v="3.8277777777777779"/>
    <n v="0.57416666666666671"/>
    <n v="1"/>
  </r>
  <r>
    <s v="BL24"/>
    <x v="152"/>
    <s v="Baldone"/>
    <s v="Mežvidu ielas gājēju infrastruktūra (virziens uz bij. pansionātu)"/>
    <s v="80050010114, _x000a_80250060375"/>
    <s v="Pašvaldība"/>
    <s v="Potenciāla publiskā ārtelpa"/>
    <m/>
    <m/>
    <s v="Transporta infrastruktūra (Gājēju un velosipēdu infrastruktūra)"/>
    <m/>
    <m/>
    <m/>
    <m/>
    <s v="Gājēju infrastruktūras izveide, apgaismojums"/>
    <s v="Transporta infrastruktūra - kājāmgājēju un velosipedistu infrastruktūras pilnveidošana"/>
    <s v="Transporta infrastruktūra - kājāmgājēju infrastruktūras izveide"/>
    <n v="1000"/>
    <s v="m2"/>
    <n v="42"/>
    <n v="42000"/>
    <n v="50"/>
    <n v="0.2"/>
    <n v="5"/>
    <n v="600"/>
    <n v="3000"/>
    <n v="70"/>
    <n v="14"/>
    <n v="3"/>
  </r>
  <r>
    <s v="BL25"/>
    <x v="153"/>
    <s v="Baldone"/>
    <s v="Ceriņu iela (aiz pirmsskolas iestādes)"/>
    <n v="80050011552"/>
    <s v="Pašvaldība"/>
    <s v="Potenciāla publiskā ārtelpa"/>
    <m/>
    <m/>
    <s v="Transporta infrastruktūra (Gājēju un velosipēdu infrastruktūra)"/>
    <m/>
    <m/>
    <m/>
    <m/>
    <s v="Gājēju ietve. Autostāvvietas gar ielu. Lietišķās atpūtas vieta"/>
    <s v="Transporta infrastruktūra - kājāmgājēju un velosipedistu infrastruktūras pilnveidošana._x000a_Lietišķās atpūtas vietas (S)."/>
    <s v="Transporta infrastruktūra - kājāmgājēju infrastruktūras izveide"/>
    <n v="1000"/>
    <s v="m2"/>
    <n v="42"/>
    <n v="42000"/>
    <n v="2500"/>
    <n v="0.05"/>
    <n v="20"/>
    <n v="30000"/>
    <n v="600000"/>
    <n v="1.4"/>
    <n v="7.0000000000000007E-2"/>
    <n v="3"/>
  </r>
  <r>
    <s v="BL26"/>
    <x v="154"/>
    <s v="Baldone"/>
    <s v="Ceriņu iela 1 teritorija (aiz pirmsskolas iestādes)"/>
    <n v="80050011608"/>
    <s v="Pašvaldība"/>
    <s v="Potenciāla publiskā ārtelpa"/>
    <m/>
    <m/>
    <s v="Dabas un apstādījumu teritorija"/>
    <m/>
    <m/>
    <m/>
    <m/>
    <s v="Potenciāla labiekārtotas zaļās teritorijas attīstība, lietišķās atpūta vietas, gājēju ceļu struktūra, kokaugi Automašīnu stāvvietas."/>
    <s v="Parks"/>
    <s v="Parks "/>
    <n v="6000"/>
    <s v="m2"/>
    <n v="50"/>
    <n v="300000"/>
    <n v="1000"/>
    <n v="0.4"/>
    <n v="15"/>
    <n v="72000"/>
    <n v="180000"/>
    <n v="4.166666666666667"/>
    <n v="1.6666666666666667"/>
    <n v="7"/>
  </r>
  <r>
    <s v="BL27"/>
    <x v="155"/>
    <s v="Baldone"/>
    <s v="Daugavas ielas bērnu laukuma teritorija pretī zemes gabalam Daugavas ielā 15"/>
    <n v="80050010040"/>
    <s v="Pašvaldība"/>
    <s v="Esoša publiskā ārtelpa"/>
    <m/>
    <m/>
    <s v="Dabas un apstādījumu teritorija"/>
    <s v="Zems"/>
    <s v="Vidējs"/>
    <s v="Zems"/>
    <s v="Vidējs"/>
    <s v="Rotaļu elementu atjaunošana._x000a_Piekļuves uzlabošana._x000a_Norobežojošs nožogojums, stādījumi"/>
    <s v="Esošā labiekārtojuma pilnveidošana "/>
    <s v="Esošā labiekārtojuma pilnveidošana"/>
    <n v="800"/>
    <s v="m2"/>
    <n v="50"/>
    <n v="40000"/>
    <n v="300"/>
    <n v="0.3"/>
    <n v="5"/>
    <n v="5400"/>
    <n v="18000"/>
    <n v="7.4074074074074074"/>
    <n v="2.2222222222222223"/>
    <n v="1"/>
  </r>
  <r>
    <s v="BL28"/>
    <x v="156"/>
    <s v="Baldone"/>
    <s v="Vanagkalnu estrādes teritorija, Vanagkalnu iela 50"/>
    <n v="80250060065"/>
    <s v="Pašvaldība"/>
    <s v="Esoša publiskā ārtelpa"/>
    <m/>
    <m/>
    <s v="Dabas un apstādījumu teritorija"/>
    <s v="Vidējs"/>
    <s v="Vidējs"/>
    <s v="Vidējs"/>
    <s v="Vidējs"/>
    <s v="Esošās infrastruktūras atjaunošana. "/>
    <s v="Esošā labiekārtojuma pilnveidošana "/>
    <s v="Esošā labiekārtojuma pilveidošana, atjaunošana. Būvprojekta izstrāde"/>
    <n v="1"/>
    <s v="gab."/>
    <n v="50"/>
    <n v="50"/>
    <n v="3000"/>
    <n v="1.5"/>
    <n v="0.5"/>
    <n v="27000"/>
    <n v="18000"/>
    <n v="1.8518518518518519E-3"/>
    <n v="2.7777777777777779E-3"/>
    <n v="7"/>
  </r>
  <r>
    <s v="BL29"/>
    <x v="157"/>
    <s v="Baldone"/>
    <s v="Vanagkalnu dabas parka teritorija"/>
    <n v="80250090009"/>
    <s v="Pašvaldība"/>
    <s v="Esoša publiskā ārtelpa"/>
    <m/>
    <m/>
    <s v="Dabas un apstādījumu teritorija"/>
    <s v="Vidējs"/>
    <s v="Vidējs"/>
    <s v="Vidējs"/>
    <s v="Vidējs"/>
    <s v="Potenciāla bērnu rotaļu laukuma izveide. Ceļu struktūra, lietišķās atpūtas vietas. Autostāvvietu izbūve"/>
    <s v="Parks"/>
    <s v="Parks "/>
    <n v="50000"/>
    <s v="m2"/>
    <n v="70"/>
    <n v="3500000"/>
    <n v="2000"/>
    <n v="0.4"/>
    <n v="1"/>
    <n v="9600"/>
    <n v="24000"/>
    <n v="364.58333333333331"/>
    <n v="145.83333333333334"/>
    <n v="7"/>
  </r>
  <r>
    <s v="BL30"/>
    <x v="158"/>
    <s v="Baldone"/>
    <s v="Rīgas iela (autoceļš P91 Mežvidi - Baldone)  no Mežvidu ielas līdz Mežvidiem (pilsētas robežai)"/>
    <n v="80250060449"/>
    <s v="Valsts"/>
    <s v="Potenciāla publiskā ārtelpa"/>
    <m/>
    <m/>
    <s v="Transporta infrastruktūra (Gājēju un velosipēdu infrastruktūra)"/>
    <m/>
    <m/>
    <m/>
    <m/>
    <s v="Lietišķo atpūtas vietu izbūve. Apvienotā gājēju un velo ceļaa izbūve (zīmes, marķējums). Apgaismojums."/>
    <s v="Transporta infrastruktūra - kājāmgājēju un velosipedistu infrastruktūras pilnveidošana"/>
    <s v="Transporta infrastruktūra - kājāmgājēju un velosipedistu infrastruktūras pilnveidošana (asfalts)"/>
    <n v="2500"/>
    <s v="m2"/>
    <n v="55"/>
    <n v="137500"/>
    <n v="1000"/>
    <n v="0.4"/>
    <n v="10"/>
    <n v="48000"/>
    <n v="120000"/>
    <n v="2.8645833333333335"/>
    <n v="1.1458333333333333"/>
    <n v="2"/>
  </r>
  <r>
    <s v="BL31"/>
    <x v="159"/>
    <s v="Baldone, Mercendarbe"/>
    <s v="Gājēju ceļš - V9 (Iecava - Baldone - Daugmale) no Baldones esošā gājēju ceļa līdz Mercendarbei"/>
    <n v="80250030102"/>
    <s v="Valsts"/>
    <s v="Potenciāla publiskā ārtelpa"/>
    <m/>
    <m/>
    <s v="Transporta infrastruktūra (Gājēju un velosipēdu infrastruktūra)"/>
    <m/>
    <m/>
    <m/>
    <m/>
    <s v="Apvienotais gājēju - velo ceļš, Apgaismojums, 2 lietišķās atpūtas vietas."/>
    <s v="Transporta infrastruktūra - kājāmgājēju un velosipedistu infrastruktūras pilnveidošana"/>
    <s v="Transporta infrastruktūra - kājāmgājēju infrastruktūras izveide"/>
    <n v="3500"/>
    <s v="m2"/>
    <n v="42"/>
    <n v="147000"/>
    <n v="1500"/>
    <n v="0.5"/>
    <n v="5"/>
    <n v="45000"/>
    <n v="90000"/>
    <n v="3.2666666666666666"/>
    <n v="1.6333333333333333"/>
    <n v="3"/>
  </r>
  <r>
    <s v="BL32"/>
    <x v="160"/>
    <s v="Baldones pagasts, Daugmales pagasts"/>
    <s v="Pastaigu/ tūrisma maršruts Baldone- Daugmale"/>
    <s v="-"/>
    <s v="Pašvaldība/ LVM"/>
    <s v="Potenciāla publiskā ārtelpa"/>
    <m/>
    <m/>
    <s v="Dabas un apstādījumu teritorija"/>
    <m/>
    <m/>
    <m/>
    <m/>
    <s v="Gājēju takas marķējums, lietišķās atpūtas vietas, norādes"/>
    <s v="Tūrisma, pastaigu takas izveide."/>
    <s v="Tūrisma, pastaigu takas izveide."/>
    <n v="10000"/>
    <s v="m"/>
    <s v=""/>
    <n v="0"/>
    <n v="200"/>
    <n v="2.5"/>
    <n v="1"/>
    <n v="6000"/>
    <n v="2400"/>
    <n v="0"/>
    <n v="0"/>
    <n v="7"/>
  </r>
  <r>
    <s v="BL33"/>
    <x v="161"/>
    <s v="Baldone"/>
    <s v="Aktīvās atpūtas laukums pie Baldones sporta kompleksa, Iecavas iela 2, Baldone"/>
    <n v="80050010218"/>
    <s v="Pašvaldība"/>
    <s v="Esoša publiskā ārtelpa"/>
    <m/>
    <m/>
    <s v="Publiskās apbūves teritorija"/>
    <s v="Augsts"/>
    <s v="Augsts"/>
    <s v="Vidējs"/>
    <s v="Vidējs"/>
    <s v="Potenciāli attīstāms par XL aktīvās atpūtas laukumu papildinot ar rotaļu laukumu. Papildināt ar lietišķās atpūtas vietām, āra tualeti, norādēm"/>
    <s v="Aktīvās atpūtas labiekārtojuma  (L vai XL tipa)"/>
    <s v="Aktīvās atpūtas labiekārtojums  (L vai XL)"/>
    <n v="1"/>
    <s v="gab."/>
    <n v="45100"/>
    <n v="45100"/>
    <n v="2000"/>
    <n v="1"/>
    <n v="15"/>
    <n v="360000"/>
    <n v="360000"/>
    <n v="0.12527777777777777"/>
    <n v="0.12527777777777777"/>
    <n v="7"/>
  </r>
  <r>
    <s v="BL34"/>
    <x v="162"/>
    <s v="Baldone"/>
    <s v="Sabiedriskā transporta pietura &quot;Mežvidi&quot; uz autoceļa P89 (Ķekava - Skaistkalne)"/>
    <n v="80250060448"/>
    <s v="Valsts"/>
    <s v="Esoša publiskā ārtelpa"/>
    <m/>
    <m/>
    <s v="Sabiedriskā transporta pieturas"/>
    <m/>
    <m/>
    <m/>
    <m/>
    <s v="Veikt nojumes izbūvi"/>
    <s v="Lietišķās atpūtas vieta (M)"/>
    <s v="Lietišķās atpūtas vieta (M)"/>
    <n v="1"/>
    <s v="gab."/>
    <n v="3150"/>
    <n v="3150"/>
    <n v="200"/>
    <n v="0.15"/>
    <n v="10"/>
    <n v="3600"/>
    <n v="24000"/>
    <n v="0.875"/>
    <n v="0.13125000000000001"/>
    <n v="2"/>
  </r>
  <r>
    <s v="BL35"/>
    <x v="163"/>
    <s v="Baldones pagasts"/>
    <s v="Sabiedriskā transporta pietura &quot;Mīlu kalni&quot;  uz autoceļa V9 (Iecava - Baldone - Daugmale)"/>
    <n v="80250080236"/>
    <s v="Valsts"/>
    <s v="Esoša publiskā ārtelpa"/>
    <m/>
    <m/>
    <s v="Sabiedriskā transporta pieturas"/>
    <m/>
    <m/>
    <m/>
    <m/>
    <s v="Veikt platformas, soliņu izbūvi"/>
    <s v="Lietišķās atpūtas vieta (S)"/>
    <s v="Lietišķās atpūtas vieta (S)"/>
    <n v="2"/>
    <s v="gab."/>
    <n v="2765"/>
    <n v="5530"/>
    <n v="10"/>
    <n v="0.05"/>
    <n v="1"/>
    <n v="6"/>
    <n v="120"/>
    <n v="921.66666666666663"/>
    <n v="46.083333333333336"/>
    <n v="2"/>
  </r>
  <r>
    <s v="BL36"/>
    <x v="164"/>
    <s v="Baldones pagasts"/>
    <s v="Sabiedriskā transporta pietura &quot;Stūri 1&quot;  uz autoceļa V9 (Iecava - Baldone - Daugmale)"/>
    <n v="80250080236"/>
    <s v="Valsts"/>
    <s v="Esoša publiskā ārtelpa"/>
    <m/>
    <m/>
    <s v="Sabiedriskā transporta pieturas"/>
    <m/>
    <m/>
    <m/>
    <m/>
    <s v="Veikt platformas, soliņu izbūvi. Esošā labiekārtojuma atjaunošanu."/>
    <s v="Lietišķās atpūtas vieta (S)"/>
    <s v="Lietišķās atpūtas vieta (S)"/>
    <n v="2"/>
    <s v="gab."/>
    <n v="2765"/>
    <n v="5530"/>
    <n v="10"/>
    <n v="0.1"/>
    <n v="5"/>
    <n v="60"/>
    <n v="600"/>
    <n v="92.166666666666671"/>
    <n v="9.2166666666666668"/>
    <n v="1"/>
  </r>
  <r>
    <s v="BL37"/>
    <x v="165"/>
    <s v="Baldone"/>
    <s v="Reģionālais mobilitātes punkts. Rīgas iela 91 un Pasta iela 9"/>
    <s v="80050013806, 80050013805"/>
    <s v="Pašvaldība"/>
    <s v="Potenciāla publiskā ārtelpa"/>
    <m/>
    <m/>
    <s v="Mobilitāte"/>
    <s v="Autostāvvietu, elektrouzlādes vietu, velosipēdu novietņu izveidi. Gājēju un velosipēdistu infrastruktūra."/>
    <s v="Autostāvvietu, elektrouzlādes vietu, velosipēdu novietņu izveidi. Gājēju un velosipēdistu infrastruktūra."/>
    <m/>
    <m/>
    <s v="Reģiona mobilitātes punkta izveide,kas ietver teritorijas labiekārtojumu ar autostāvvietu, elektrouzlādes vietu, velosipēdu novietņu izveidi, gājēju un velo infrastruktūru."/>
    <s v="Autostāvvietu, elektrouzlādes vietu, velosipēdu novietņu izveidi. Gājēju un velosipēdistu infrastruktūra."/>
    <s v="Autostāvvietu, elektrouzlādes vietu, velosipēdu novietņu izveidi. Gājēju un velosipēdistu infrastruktūra."/>
    <n v="1"/>
    <s v="gab."/>
    <n v="60000"/>
    <n v="60000"/>
    <n v="3000"/>
    <n v="0.2"/>
    <n v="20"/>
    <n v="144000"/>
    <n v="720000"/>
    <n v="0.41666666666666669"/>
    <n v="8.3333333333333329E-2"/>
    <n v="3"/>
  </r>
  <r>
    <s v="BL38"/>
    <x v="166"/>
    <s v="Baldone"/>
    <s v="Gājēju un velosipēdu ietve un labiekārtojums Ķeguma prospektā no Parka ielas līdz Tilta ielai"/>
    <n v="80050015731"/>
    <s v="Pašvaldība"/>
    <s v="Potenciāla publiskā ārtelpa"/>
    <m/>
    <m/>
    <s v="Transporta infrastuktūra (Gājēju un velosipēdu infrasturktūra),  Lietišķās atpūtas vietas"/>
    <m/>
    <m/>
    <m/>
    <m/>
    <s v="Ielas asfaltēšana, gājēju un velosipēdu apvienotā ceļa izbūve, lietišķo atpūtas vietu izbūve, apgaismojuma izbūve"/>
    <s v="Transporta infrastruktūra - kājāmgājēju un velosipedistu infrastruktūras pilnveidošana (asfalts)"/>
    <s v="Transporta infrastruktūra - kājāmgājēju un velosipedistu infrastruktūras pilnveidošana (asfalts)"/>
    <n v="14000"/>
    <s v="m2"/>
    <n v="55"/>
    <n v="770000"/>
    <n v="500"/>
    <n v="0.25"/>
    <n v="25"/>
    <n v="37500"/>
    <n v="150000"/>
    <n v="20.533333333333335"/>
    <n v="5.1333333333333337"/>
    <n v="1"/>
  </r>
  <r>
    <s v="BL39"/>
    <x v="167"/>
    <s v="Baldones pagasts"/>
    <s v="Novada zīmes izvietošana uz autoceļa P89 (Ķekava - Skaistkalne)"/>
    <n v="80250120124"/>
    <s v="Valsts"/>
    <s v="Esoša publiskā ārtelpa"/>
    <m/>
    <m/>
    <s v="Transporta infrastuktūra"/>
    <m/>
    <m/>
    <m/>
    <m/>
    <s v="Novada zīmju izvietošana iebraucot no Skaistkalnes uz P89"/>
    <s v="Novada norādes izvietošana"/>
    <s v="Norāžu izvietošana"/>
    <n v="1"/>
    <s v="gab."/>
    <n v="90"/>
    <n v="90"/>
    <n v="2000"/>
    <n v="0.01"/>
    <n v="15"/>
    <n v="3600"/>
    <n v="360000"/>
    <n v="2.5000000000000001E-2"/>
    <n v="2.5000000000000001E-4"/>
    <n v="1"/>
  </r>
  <r>
    <s v="BL40"/>
    <x v="168"/>
    <s v="Baldone"/>
    <s v="Gājēju pāreja uz Rīgas ielas (transporta mierināšanas pasākumi) pie Dzirnavu un Rīgas ielas krustojuma (pie zemes gabala Kļavu ielā 1)"/>
    <n v="80050010126"/>
    <s v="Valsts"/>
    <s v="Esoša publiskā ārtelpa"/>
    <m/>
    <m/>
    <s v="Transporta infrastruktūra"/>
    <m/>
    <m/>
    <m/>
    <m/>
    <s v="Gājēju pārejas izbūve pie Dzirnavu ielas sabiedriskā transporta pieturas. Nepieciešama saskaņošana ar VAS &quot;Latvijas valsts ceļi&quot;"/>
    <s v="Esošā labiekārtojuma pilnveidošana"/>
    <s v="Esošā labiekārtojuma pilnveidošana"/>
    <n v="2"/>
    <s v="m2"/>
    <n v="50"/>
    <n v="100"/>
    <n v="2000"/>
    <n v="0.01"/>
    <n v="15"/>
    <n v="3600"/>
    <n v="360000"/>
    <n v="2.7777777777777776E-2"/>
    <n v="2.7777777777777778E-4"/>
    <n v="3"/>
  </r>
  <r>
    <s v="K36"/>
    <x v="169"/>
    <s v="Ķekava"/>
    <s v="Doles Tautas nams. Informatīva norāde, Rīgas iela 26"/>
    <n v="80700081506"/>
    <s v="Pašvaldība"/>
    <s v="Esoša publiskā ārtelpa"/>
    <m/>
    <m/>
    <s v="Publiskās apbūves teritorija"/>
    <s v="Augsts"/>
    <s v="Augsts"/>
    <s v="Augsts"/>
    <s v="Augsts"/>
    <s v="Norādes, zīmes uz Doles Tautas namu. Informācija norādes par Ķekavas kultūras namu"/>
    <s v="Informatīvu norāžu izvietošana"/>
    <s v="Norāžu izvietošana"/>
    <n v="1"/>
    <s v="gab."/>
    <n v="90"/>
    <n v="90"/>
    <n v="2000"/>
    <n v="0.05"/>
    <n v="15"/>
    <n v="18000"/>
    <n v="360000"/>
    <n v="5.0000000000000001E-3"/>
    <n v="2.5000000000000001E-4"/>
    <n v="1"/>
  </r>
  <r>
    <s v="K37"/>
    <x v="170"/>
    <s v="Ķekava"/>
    <s v="Odukalnu ielas izbūve"/>
    <n v="80700081337"/>
    <s v="Pašvaldība"/>
    <s v="Potenciāla publiskā ārtelpa"/>
    <s v="Projektēšana."/>
    <m/>
    <s v="Transporta infrastuktūra( Gājēju infrasturktūra),  Lietišķās atpūtas vietas"/>
    <m/>
    <m/>
    <m/>
    <m/>
    <s v="Oduklana ielas izbūve ar gājēju un velo infrastruktūru. Lietišķās atpūtas vieta "/>
    <s v="Transporta infrastruktūra - kājāmgājēju un velosipedistu infrastruktūras pilnveidošana"/>
    <s v="Transporta infrastruktūra - kājāmgājēju un velosipedistu infrastruktūras pilnveidošana (asfalts)"/>
    <n v="1000"/>
    <s v="m2"/>
    <n v="55"/>
    <n v="55000"/>
    <n v="700"/>
    <n v="0.3"/>
    <n v="20"/>
    <n v="50400"/>
    <n v="168000"/>
    <n v="1.0912698412698412"/>
    <n v="0.32738095238095238"/>
    <n v="1"/>
  </r>
  <r>
    <s v="K37"/>
    <x v="171"/>
    <s v="Ķekava"/>
    <s v="Odukalnu ielas izbūve"/>
    <s v="_x000a_80700081337"/>
    <s v="Pašvaldība"/>
    <s v="Potenciāla publiskā ārtelpa"/>
    <s v="Projektēšana."/>
    <m/>
    <s v="Transporta infrastuktūra( Gājēju infrasturktūra),  Lietišķās atpūtas vietas"/>
    <m/>
    <m/>
    <m/>
    <m/>
    <s v="Oduklana ielas izbūve ar gājēju un velo infrastruktūru. Lietišķās atpūtas vieta "/>
    <s v="Lietišķās atpūtas vieta (S)"/>
    <s v="Lietišķās atpūtas vieta (S)"/>
    <n v="3"/>
    <s v="gab."/>
    <n v="2765"/>
    <n v="8295"/>
    <n v="700"/>
    <n v="0.15"/>
    <n v="15"/>
    <n v="18900"/>
    <n v="126000"/>
    <n v="0.43888888888888888"/>
    <n v="6.5833333333333327E-2"/>
    <n v="1"/>
  </r>
  <r>
    <s v="K38"/>
    <x v="172"/>
    <s v="Ķekava"/>
    <s v="Pašvaldības nozīmes koplietošanas ūdensnotekas 413241:P:1  tīrīšana posmā no Ķekavas kultūras nama līdz putnu fabrikai"/>
    <s v="-"/>
    <s v="Pašvaldība"/>
    <s v="Esoša publiskā ārtelpa"/>
    <m/>
    <m/>
    <s v="Transporta infrastruktūra (Gājēju un velosipēdu infrastruktūra)"/>
    <m/>
    <m/>
    <m/>
    <m/>
    <s v="Pašvaldības nozīmes koplietošanas ūdensnotekas 413241:P:1  tīrīšana posmā no  .  Ķekavas kultūras nama līdz putnu fabrikai. "/>
    <s v="Esošās teritorijas sakārtošana"/>
    <s v="Esošās teritorijas sakārtošana"/>
    <n v="4.5"/>
    <s v="km"/>
    <n v="2000"/>
    <n v="9000"/>
    <n v="3000"/>
    <n v="0.1"/>
    <n v="1"/>
    <n v="3600"/>
    <n v="36000"/>
    <n v="2.5"/>
    <n v="0.25"/>
    <n v="1"/>
  </r>
  <r>
    <s v="K39"/>
    <x v="173"/>
    <s v="Ķekava"/>
    <s v="Naudītes ielas lietišķā infrastruktūra"/>
    <n v="80700071379"/>
    <s v="Pašvaldība"/>
    <s v="Potenciāla publiskā ārtelpa"/>
    <s v="Projektēšana 2023.gadā"/>
    <m/>
    <s v="Transporta infrastruktūra (Gājēju un velosipēdu infrastruktūra)"/>
    <m/>
    <m/>
    <m/>
    <m/>
    <s v="Apgaismojuma ierīkošana, gājēju ietves izbūve. Lietišķās atpūtas vietas (S tips). "/>
    <s v="Lietišķās atpūtas vieta (S)"/>
    <s v="Lietišķās atpūtas vieta (S)"/>
    <n v="3"/>
    <s v="gab."/>
    <n v="2765"/>
    <n v="8295"/>
    <n v="300"/>
    <n v="0.2"/>
    <n v="10"/>
    <n v="7200"/>
    <n v="36000"/>
    <n v="1.1520833333333333"/>
    <n v="0.23041666666666666"/>
    <n v="1"/>
  </r>
  <r>
    <s v="K40"/>
    <x v="174"/>
    <s v="Ķekava"/>
    <s v="Apstādījumu izveide gar  A7 (Rīga-Bauska-Lietuvas robeža) veloceļu.  "/>
    <n v="80700083909"/>
    <s v="Valsts"/>
    <s v="Potenciāla publiskā ārtelpa"/>
    <m/>
    <m/>
    <s v="Dabas un apstādījumu teritorija"/>
    <m/>
    <m/>
    <m/>
    <m/>
    <s v="Apstādījumu atjaunošana gar izbūvēto veloceļu posmā , kur izcirtsas egles veloceļa būvniecības laikā"/>
    <s v="Koku stādījumu pilnveidošana"/>
    <s v="Apstādījumu papildināšana ar krūmu grupām (10-15 stādi)"/>
    <n v="15"/>
    <s v="gab."/>
    <n v="650"/>
    <n v="9750"/>
    <n v="500"/>
    <n v="0.1"/>
    <n v="15"/>
    <n v="9000"/>
    <n v="90000"/>
    <n v="1.0833333333333333"/>
    <n v="0.10833333333333334"/>
    <n v="7"/>
  </r>
  <r>
    <s v="K41"/>
    <x v="175"/>
    <s v="Ķekava"/>
    <s v="Laivošanas maršruts pa Ķekavas upi"/>
    <s v="-"/>
    <s v="-"/>
    <s v="Potenciāla publiskā ārtelpa"/>
    <m/>
    <m/>
    <s v="Aktīvās atpūtas teritorija"/>
    <m/>
    <m/>
    <m/>
    <m/>
    <s v="Laivošanas maršruta izveide. Tīrīšana un uzturēšana"/>
    <s v="Laivošanas maršruta izveide. Tīrīšana un uzturēšana"/>
    <s v="Laivošanas maršruta izveide. Tīrīšana un uzturēšana"/>
    <n v="23"/>
    <s v="km"/>
    <n v="10000"/>
    <n v="230000"/>
    <n v="1000"/>
    <n v="2"/>
    <n v="1"/>
    <n v="24000"/>
    <n v="12000"/>
    <n v="9.5833333333333339"/>
    <n v="19.166666666666668"/>
    <n v="3"/>
  </r>
  <r>
    <s v="K42"/>
    <x v="176"/>
    <s v="Ķekava"/>
    <s v="Atpūtas vieta pie ūdens &quot;Murdiņi&quot;, Dārznieku iela 13, Ķekava"/>
    <n v="80700081121"/>
    <s v="Pašvaldība"/>
    <s v="Esoša publiskā ārtelpa"/>
    <m/>
    <m/>
    <s v="Dabas un apstādījumu teritorija (Parks, Skvērs, Mežaparks), Atpūtas vieta pie ūdens"/>
    <m/>
    <m/>
    <m/>
    <m/>
    <s v="Laivu nolaišanas vietas izbūve. SUP vietas izbūve, Sporta laukuma izbūve "/>
    <s v="Atpūtas vieta pie ūdens, labiekārtošana "/>
    <s v="Atpūtas vieta pie ūdens, labiekārtošana"/>
    <n v="1"/>
    <s v="gab."/>
    <n v="15000"/>
    <n v="15000"/>
    <n v="3000"/>
    <n v="1"/>
    <n v="4"/>
    <n v="144000"/>
    <n v="144000"/>
    <n v="0.10416666666666667"/>
    <n v="0.10416666666666667"/>
    <n v="3"/>
  </r>
  <r>
    <s v="K43"/>
    <x v="177"/>
    <s v="Ķekava"/>
    <s v="Vides objekts - Ķekavas pilsētas zīme pie Odukalna ūdenstorņa, &quot;Odiņš&quot;, Odukalns,"/>
    <n v="80700081136"/>
    <s v="Pašvaldība"/>
    <s v="Potenciāla publiskā ārtelpa"/>
    <m/>
    <m/>
    <s v="Dabas un apstādījumu teritorija (Parks, Skvērs, Mežaparks)     "/>
    <s v="Vidējs"/>
    <s v="Zems"/>
    <s v="Augsts"/>
    <s v="Vidējs"/>
    <s v="Vides objekta/zīmes - Ķekava - uzstādīšana"/>
    <s v="Pilsētas zīmes- vides objekta izbūve"/>
    <s v="Vides objekta izbūve"/>
    <n v="1"/>
    <s v="gab."/>
    <n v="15000"/>
    <n v="15000"/>
    <n v="6000"/>
    <n v="0.01"/>
    <n v="15"/>
    <n v="10800"/>
    <n v="1080000"/>
    <n v="1.3888888888888888"/>
    <n v="1.3888888888888888E-2"/>
    <n v="3"/>
  </r>
  <r>
    <s v="K44"/>
    <x v="178"/>
    <s v="Ķekava"/>
    <s v="Gājēju ietve Ziemeļu ielā posmā no A5 (Jaunsils) līdz putnu fabrikai.  Gājēju ceļš un veloceļš.  "/>
    <n v="80700083335"/>
    <s v="Pašvaldība"/>
    <s v="Potenciāla publiskā ārtelpa"/>
    <m/>
    <m/>
    <s v="Transporta infrastuktūra (Gājēju un velosipēdu infrasturktūra),  Lietišķās atpūtas vietas"/>
    <m/>
    <m/>
    <m/>
    <m/>
    <s v="Gājēju ceļš un veloceļa izbūve Ziemeļu ielā posmā no A5 (Jaunsils) līdz putnu fabrikai Jaunsilam.  "/>
    <s v="Transporta infrastruktūra - kājāmgājēju un velosipedistu infrastruktūras pilnveidošana"/>
    <s v="Transporta infrastruktūra - kājāmgājēju infrastruktūras pilnveidošana (bruģis)"/>
    <n v="4000"/>
    <s v="m2"/>
    <n v="55"/>
    <n v="220000"/>
    <n v="1000"/>
    <n v="0.3"/>
    <n v="15"/>
    <n v="54000"/>
    <n v="180000"/>
    <n v="4.0740740740740744"/>
    <n v="1.2222222222222223"/>
    <n v="2"/>
  </r>
  <r>
    <s v="K45"/>
    <x v="179"/>
    <s v="Ķekava"/>
    <s v="Stāvlaukums un gājēju ietve (Dārznieku iela 3A un Dārznieku iela 3B"/>
    <s v="_x000a_80700082362, _x000a_80700082593"/>
    <s v="Pašvaldība"/>
    <s v="Potenciāla publiskā ārtelpa"/>
    <m/>
    <m/>
    <s v="Transporta infrastruktūra"/>
    <m/>
    <m/>
    <m/>
    <m/>
    <s v="Nepieciešams stāvlaukums  un tilts gājējiem, lai uzlabout piekļuvi Grilparkam  apmeklētājiem baznīcai, tirgum."/>
    <s v="Transporta infrastruktūra - kājāmgājēju un velosipedistu infrastruktūras izveide"/>
    <s v="Transporta infrastruktūra - kājāmgājēju infrastruktūras izveide"/>
    <n v="800"/>
    <s v="m2"/>
    <n v="42"/>
    <n v="33600"/>
    <n v="3000"/>
    <n v="0.2"/>
    <n v="8"/>
    <n v="57600"/>
    <n v="288000"/>
    <n v="0.58333333333333337"/>
    <n v="0.11666666666666667"/>
    <n v="3"/>
  </r>
  <r>
    <s v="K45"/>
    <x v="180"/>
    <s v="Ķekava"/>
    <s v="Stāvlaukums un gājēju ietve (Dārznieku iela 3A un Dārznieku iela 3B"/>
    <s v="_x000a_80700082362, _x000a_80700082593"/>
    <s v="Pašvaldība"/>
    <s v="Potenciāla publiskā ārtelpa"/>
    <m/>
    <m/>
    <s v="Laivu nolaišanas vieta ūdenī"/>
    <m/>
    <m/>
    <m/>
    <m/>
    <s v=" Laivotāju piekļuve, piebraukšana. "/>
    <s v="Laivu nolaišanas vietas ūdenī izbūve"/>
    <s v="Laivu nolaišanas vietas ūdenī izbūve"/>
    <n v="1"/>
    <s v="gab."/>
    <n v="15000"/>
    <n v="15000"/>
    <n v="1000"/>
    <n v="0.3"/>
    <n v="2"/>
    <n v="7200"/>
    <n v="24000"/>
    <n v="2.0833333333333335"/>
    <n v="0.625"/>
    <n v="3"/>
  </r>
  <r>
    <s v="K46"/>
    <x v="181"/>
    <s v="Ķekava"/>
    <s v="Gājēju ietve Vanadziņu  un Gaismas ielās"/>
    <n v="80700081317"/>
    <s v="Pašvaldība"/>
    <s v="Potenciāla publiskā ārtelpa"/>
    <m/>
    <m/>
    <s v="Transporta infrastruktūra (Gājēju un velosipēdu infrastruktūra)"/>
    <m/>
    <m/>
    <m/>
    <m/>
    <s v="Gar “Līgas pirti”  nākotnē izveidot par gājēju ietvi/ceļu, jo jau šobrīd tas ir iedzīvotāju vidū populārs pastaigu maršrut "/>
    <s v="Transporta infrastruktūra - kājāmgājēju infrastruktūras izveide"/>
    <s v="Transporta infrastruktūra - kājāmgājēju infrastruktūras izveide"/>
    <n v="3600"/>
    <s v="m2"/>
    <n v="42"/>
    <n v="151200"/>
    <n v="1500"/>
    <n v="0.5"/>
    <n v="15"/>
    <n v="135000"/>
    <n v="270000"/>
    <n v="1.1200000000000001"/>
    <n v="0.56000000000000005"/>
    <n v="7"/>
  </r>
  <r>
    <s v="B17"/>
    <x v="182"/>
    <s v="Baloži"/>
    <s v="Rīgas ielas labiekārtošana, ietves pārbūve, veloceļa izbūve"/>
    <s v="_x000a_80070021435"/>
    <s v="Valsts"/>
    <s v="Potenciāla publiskā ārtelpa"/>
    <m/>
    <m/>
    <s v="Transporta infrastuktūra( Gājēju un velosipēdu infrasturktūra),  Lietišķās atpūtas vietas"/>
    <m/>
    <m/>
    <m/>
    <m/>
    <s v="Rīgas ielas no Rīgas iela 20 līdz Skolas ielai labiekārtošana. Gājēju un velo ceļa turpinājums. Lietišķās atpūtas vietu izvietošana (S tips)"/>
    <s v="Transporta infrastruktūra - kājāmgājēju un velosipedistu infrastruktūras pilnveidošana"/>
    <s v="Transporta infrastruktūra - kājāmgājēju un velosipedistu infrastruktūras pilnveidošana (asfalts)"/>
    <n v="800"/>
    <s v="m2"/>
    <n v="55"/>
    <n v="44000"/>
    <n v="1000"/>
    <n v="0.5"/>
    <n v="10"/>
    <n v="60000"/>
    <n v="120000"/>
    <n v="0.73333333333333328"/>
    <n v="0.36666666666666664"/>
    <n v="3"/>
  </r>
  <r>
    <s v="B17"/>
    <x v="183"/>
    <s v="Baloži"/>
    <s v="Rīgas ielas labiekārtošana, ietves pārūve, veloceļa izbūve"/>
    <s v="_x000a_80070021435"/>
    <s v="Valsts"/>
    <s v="Potenciāla publiskā ārtelpa"/>
    <m/>
    <m/>
    <s v="Transporta infrastuktūra( Gājēju un velosipēdu infrasturktūra),  Lietišķās atpūtas vietas"/>
    <m/>
    <m/>
    <m/>
    <m/>
    <s v="Rīgas ielas no Rīgas iela 20 līdz Skolas ielai labiekārtošana. Gājēju un velo ceļa turpinājums. Lietišķās atpūtas vietu izvietošana (S tips)"/>
    <s v="Lietišķās atpūtas vieta (S)"/>
    <s v="Lietišķās atpūtas vieta (S)"/>
    <n v="4"/>
    <s v="gab."/>
    <n v="2765"/>
    <n v="11060"/>
    <n v="1000"/>
    <n v="0.15"/>
    <n v="10"/>
    <n v="18000"/>
    <n v="120000"/>
    <n v="0.61444444444444446"/>
    <n v="9.2166666666666661E-2"/>
    <n v="1"/>
  </r>
  <r>
    <s v="B18"/>
    <x v="184"/>
    <s v="Baloži"/>
    <s v="Meža ielas pārbūve.  "/>
    <n v="80070010207"/>
    <s v="Pašvaldība"/>
    <s v="Potenciāla publiskā ārtelpa"/>
    <m/>
    <m/>
    <s v="Transporta infrastruktūra. Grāvja tīrīšana"/>
    <m/>
    <m/>
    <m/>
    <m/>
    <s v="Meža ielas gar grāvi pārbūve posmā no Silāju ielas līdz Titurgas ezeram"/>
    <s v="Transporta infrastruktūra - kājāmgājēju un velosipedistu infrastruktūras pilnveidošana"/>
    <s v="Transporta infrastruktūra - kājāmgājēju infrastruktūras pilnveidošana (bruģis)"/>
    <n v="1000"/>
    <s v="m2"/>
    <n v="55"/>
    <n v="55000"/>
    <n v="500"/>
    <n v="0.3"/>
    <n v="10"/>
    <n v="18000"/>
    <n v="60000"/>
    <n v="3.0555555555555554"/>
    <n v="0.91666666666666663"/>
    <n v="1"/>
  </r>
  <r>
    <s v="B18"/>
    <x v="185"/>
    <s v="Baloži"/>
    <s v="Grāvja tīrīšana posmā līdz Titurgas ezeram "/>
    <n v="80070010207"/>
    <s v="Pašvaldība"/>
    <s v="Potenciāla publiskā ārtelpa"/>
    <m/>
    <m/>
    <s v="Grāvja tīrīšana"/>
    <m/>
    <m/>
    <m/>
    <m/>
    <s v="Grāvja tīrīšana posmā Silāju ielas līdz Titurgas ezeram"/>
    <s v="Esošās teritorijas sakārtošana -Grāvja tīrīšana"/>
    <s v="Grāvja tīrīšana"/>
    <n v="0.75"/>
    <s v="km"/>
    <n v="2000"/>
    <n v="1500"/>
    <n v="200"/>
    <n v="0.1"/>
    <n v="10"/>
    <n v="2400"/>
    <n v="24000"/>
    <n v="0.625"/>
    <n v="6.25E-2"/>
    <n v="2"/>
  </r>
  <r>
    <s v="B19"/>
    <x v="186"/>
    <s v="Baloži"/>
    <s v="Zālītes ielas pārbūve"/>
    <n v="80700030637"/>
    <s v="Pašvaldība"/>
    <s v="Potenciāla publiskā ārtelpa"/>
    <m/>
    <m/>
    <s v="Transporta infrastruktūra"/>
    <m/>
    <m/>
    <m/>
    <m/>
    <s v="Esošā granrts seguma uzlabošana"/>
    <s v="Esošā granrts seguma uzlabošana"/>
    <s v="Esošā granrts seguma uzlabošana"/>
    <n v="5256"/>
    <s v="m2"/>
    <n v="25"/>
    <n v="131400"/>
    <n v="500"/>
    <n v="0.3"/>
    <n v="10"/>
    <n v="18000"/>
    <n v="60000"/>
    <n v="7.3"/>
    <n v="2.19"/>
    <n v="7"/>
  </r>
  <r>
    <s v="B20"/>
    <x v="187"/>
    <s v="Baloži"/>
    <s v="Titurgas ielas gājēju ietve "/>
    <s v="_x000a_80070010611"/>
    <s v="Pašvaldība"/>
    <s v="Potenciāla publiskā ārtelpa"/>
    <m/>
    <m/>
    <s v="Transporta infrastuktūra( Gājēju un velosipēdu infrasturktūra),  Lietišķās atpūtas vietas"/>
    <m/>
    <m/>
    <m/>
    <m/>
    <s v="Gājēju un velo infrastruktūras segums līdz Titurgas ezeram pa Titurgas ielu"/>
    <s v="Transporta infrastruktūra - kājāmgājēju un velosipedistu infrastruktūras pilnveidošana."/>
    <s v="Transporta infrastruktūra - kājāmgājēju infrastruktūras pilnveidošana (bruģis)"/>
    <n v="1000"/>
    <s v="m2"/>
    <n v="55"/>
    <n v="55000"/>
    <n v="5000"/>
    <n v="0.5"/>
    <n v="15"/>
    <n v="450000"/>
    <n v="900000"/>
    <n v="0.12222222222222222"/>
    <n v="6.1111111111111109E-2"/>
    <n v="3"/>
  </r>
  <r>
    <s v="B21"/>
    <x v="188"/>
    <s v="Baloži"/>
    <s v="Titurgas ielas gājēju ietve "/>
    <s v="_x000a_80070010611"/>
    <s v="Pašvaldība"/>
    <s v="Potenciāla publiskā ārtelpa"/>
    <m/>
    <m/>
    <s v="Transporta infrastuktūra( Gājēju un velosipēdu infrasturktūra),  Lietišķās atpūtas vietas"/>
    <m/>
    <m/>
    <m/>
    <m/>
    <s v="Gājēju un velo infrastruktūras segums līdz Titurgas ezeram pa Titurgas ielu"/>
    <s v="Lietišķās atpūtas vieta (S)"/>
    <s v="Lietišķās atpūtas vieta (S)"/>
    <n v="4"/>
    <s v="gab."/>
    <n v="2765"/>
    <n v="11060"/>
    <n v="5000"/>
    <n v="0.15"/>
    <n v="15"/>
    <n v="135000"/>
    <n v="900000"/>
    <n v="8.192592592592593E-2"/>
    <n v="1.2288888888888889E-2"/>
    <n v="3"/>
  </r>
  <r>
    <s v="B22"/>
    <x v="189"/>
    <s v="Baloži "/>
    <s v="Titurgas ezera taka"/>
    <s v="_x000a_80070021311"/>
    <s v="Pašvaldība"/>
    <s v="Potenciāla publiskā ārtelpa"/>
    <m/>
    <m/>
    <s v="Dabas un apstādījumu teritorija (Parks, Skvērs, Mežaparks), Atpūtas vieta pie ūdens"/>
    <m/>
    <m/>
    <m/>
    <m/>
    <s v="Dabas taka ap ezeru. "/>
    <s v="Tūrisma, pastaigu takas izveide."/>
    <s v="Gājēju taka gar Titurgas ezeru"/>
    <n v="1800"/>
    <s v="m2"/>
    <n v="40"/>
    <n v="72000"/>
    <n v="4000"/>
    <n v="1"/>
    <n v="1"/>
    <n v="48000"/>
    <n v="48000"/>
    <n v="1.5"/>
    <n v="1.5"/>
    <n v="3"/>
  </r>
  <r>
    <s v="B23"/>
    <x v="190"/>
    <s v="Baloži"/>
    <s v="Atpūtas vieta pie ūdens pie Titurgas ezera  Ezera ielā"/>
    <n v="80070021311"/>
    <s v="Pašvaldība"/>
    <s v="Esoša publiskā ārtelpa"/>
    <m/>
    <m/>
    <s v="Laivu nolaišanas vieta ūdenī"/>
    <m/>
    <m/>
    <m/>
    <m/>
    <s v="Laivu nolaišanas vietas izbūve un SUP vietas izbūve Titurgas ezera atpūtas vietā pie ūdens"/>
    <s v="Laivu nolaišanas vietas ūdenī izbūve"/>
    <s v="Laivu nolaišanas vietas ūdenī izbūve"/>
    <n v="1"/>
    <s v="gab."/>
    <n v="15000"/>
    <n v="15000"/>
    <n v="300"/>
    <n v="0.5"/>
    <n v="2"/>
    <n v="3600"/>
    <n v="7200"/>
    <n v="4.166666666666667"/>
    <n v="2.0833333333333335"/>
    <n v="3"/>
  </r>
  <r>
    <s v="B24"/>
    <x v="191"/>
    <s v="Baloži"/>
    <s v="Baložu pilsētas mobilitātes punkta izveide (Purva iela 2/4)"/>
    <s v="vietā jāprecizē"/>
    <s v="Pašvaldība"/>
    <s v="Potenciāla publiskā ārtelpa"/>
    <m/>
    <m/>
    <s v="Mobilitāte"/>
    <m/>
    <m/>
    <m/>
    <m/>
    <s v="Pilsētas mobilitātes punkta izveide"/>
    <s v="Pilsētas mobilitātes punkta izveide"/>
    <s v="Pilsētas mobilitātes punkta izveide"/>
    <n v="1"/>
    <s v="gab."/>
    <n v="60000"/>
    <n v="60000"/>
    <n v="6000"/>
    <n v="0.3"/>
    <n v="25"/>
    <n v="540000"/>
    <n v="1800000"/>
    <n v="0.1111111111111111"/>
    <n v="3.3333333333333333E-2"/>
    <n v="2"/>
  </r>
  <r>
    <s v="B25"/>
    <x v="192"/>
    <s v="Baloži"/>
    <s v="Mūkalna parks"/>
    <n v="80700021626"/>
    <s v="Pašvaldība"/>
    <s v="Potenciāla publiskā ārtelpa"/>
    <m/>
    <m/>
    <s v="Dabas un apstādījumu teritorija (Parks, Skvērs, Mežaparks)    "/>
    <m/>
    <m/>
    <m/>
    <m/>
    <s v="Parka labiekārtošana. Ceļu, lietišķās atpūtas vietu ierīkošana, dīķa tīrīšana, laipas izveide"/>
    <s v="Parka labiekārtošana. Ceļu, lietišķās atpūtas vietu ierīkošana, dīķa tīrīšana, laipas izveide"/>
    <s v="Parks "/>
    <n v="49000"/>
    <s v="m2"/>
    <n v="50"/>
    <n v="2450000"/>
    <n v="6000"/>
    <n v="0.3"/>
    <n v="25"/>
    <n v="540000"/>
    <n v="1800000"/>
    <n v="4.5370370370370372"/>
    <n v="1.3611111111111112"/>
    <n v="7"/>
  </r>
  <r>
    <s v="R29"/>
    <x v="193"/>
    <s v="Rāmava"/>
    <s v="Laivu piestātne autoceļa V2 (Valdlauči - Rāmava) galā"/>
    <n v="80700020636"/>
    <s v="Pašvaldība/ Valsts"/>
    <s v="Potenciāla publiskā ārtelpa"/>
    <m/>
    <m/>
    <s v="Laivu nolaišanas vieta ūdenī"/>
    <m/>
    <m/>
    <m/>
    <m/>
    <s v="Laivu nolaišanas vietas izbūve kadastra 80700020636 galā. Valsts vietējais autoceļš V2 noslēgumā."/>
    <s v="Laivu nolaišanas vietas ūdenī izbūve"/>
    <s v="Laivu nolaišanas vietas ūdenī izbūve"/>
    <n v="1"/>
    <s v="gab."/>
    <n v="15000"/>
    <n v="15000"/>
    <n v="100"/>
    <n v="0.5"/>
    <n v="2"/>
    <n v="1200"/>
    <n v="2400"/>
    <n v="12.5"/>
    <n v="6.25"/>
    <n v="7"/>
  </r>
  <r>
    <s v="R30"/>
    <x v="194"/>
    <s v="Katlakalns"/>
    <s v="Laivu nolaišanas vieta Daugavā Ievu ielas galā"/>
    <n v="80700070375"/>
    <s v="Pašvaldība"/>
    <s v="Potenciāla publiskā ārtelpa"/>
    <m/>
    <m/>
    <s v="Laivu nolaišanas vieta ūdenī"/>
    <m/>
    <m/>
    <m/>
    <m/>
    <s v="Laivu nolaišanas vieta"/>
    <s v="Laivu nolaišanas vietas ūdenī izbūve"/>
    <s v="Laivu nolaišanas vietas ūdenī izbūve"/>
    <n v="1"/>
    <s v="gab."/>
    <n v="15000"/>
    <n v="15000"/>
    <n v="100"/>
    <n v="0.5"/>
    <n v="0.5"/>
    <n v="300"/>
    <n v="600"/>
    <n v="50"/>
    <n v="25"/>
    <n v="7"/>
  </r>
  <r>
    <s v="Dz2"/>
    <x v="195"/>
    <s v="Dzērumi"/>
    <s v="Mikromobilitātes punkts Dzērumos (vieta jāprecizē)"/>
    <s v="vietā jāprecizē"/>
    <m/>
    <s v="Potenciāla publiskā ārtelpa"/>
    <m/>
    <m/>
    <s v="Mobilitāte"/>
    <m/>
    <m/>
    <m/>
    <m/>
    <s v="Mikromobilitātes punkta izveide,kas ietver velosipēdu, taksometru, koplietošanas transportlīdzekļu pakalpojumu. "/>
    <s v="Mikromobilitātes punkta izveide,kas ietver velosipēdu, taksometru, koplietošanas transportlīdzekļu pakalpojumu. "/>
    <s v="Mikromobilitātes punkta izveide"/>
    <n v="1"/>
    <s v="gab."/>
    <n v="20000"/>
    <n v="20000"/>
    <n v="600"/>
    <n v="0.2"/>
    <n v="20"/>
    <n v="28800"/>
    <n v="144000"/>
    <n v="0.69444444444444442"/>
    <n v="0.1388888888888889"/>
    <n v="3"/>
  </r>
  <r>
    <s v="Dz3"/>
    <x v="196"/>
    <s v="Dzērumi"/>
    <s v="Kopienas centrs, rotaļu laukums Aviators 71, 80700181736"/>
    <n v="80700181736"/>
    <s v="Pašvaldība/Valsts"/>
    <s v="Esoša publiskā ārtelpa"/>
    <m/>
    <m/>
    <s v="Aktīvās atpūtas teritorija "/>
    <m/>
    <m/>
    <m/>
    <m/>
    <s v="Rotaļu laukuma izveide."/>
    <s v="Bērnu rotaļu laukuma izveide (M)"/>
    <s v="Bērnu rotaļu laukums M"/>
    <n v="1"/>
    <s v="gab."/>
    <n v="13625"/>
    <n v="13625"/>
    <n v="100"/>
    <n v="0.5"/>
    <n v="8"/>
    <n v="4800"/>
    <n v="9600"/>
    <n v="2.8385416666666665"/>
    <n v="1.4192708333333333"/>
    <n v="1"/>
  </r>
  <r>
    <s v="Dz4"/>
    <x v="197"/>
    <s v="Dzērumi"/>
    <s v="Laivošanas maršruts pa Misas upi no A7 līdz Plakanciemam  "/>
    <s v="-"/>
    <s v="-"/>
    <s v="Potenciāla publiskā ārtelpa"/>
    <m/>
    <m/>
    <m/>
    <m/>
    <m/>
    <m/>
    <m/>
    <s v="Laivošanas maršruta izveide. Tīrīšana un uzturēšana"/>
    <s v="Laivošanas maršruta izveide. Tīrīšana un uzturēšana"/>
    <s v="Laivošanas maršruta izveide"/>
    <n v="18"/>
    <s v="km"/>
    <n v="10000"/>
    <n v="10000"/>
    <n v="500"/>
    <n v="2"/>
    <n v="1"/>
    <n v="12000"/>
    <n v="6000"/>
    <n v="0.83333333333333337"/>
    <n v="1.6666666666666667"/>
    <n v="1"/>
  </r>
  <r>
    <s v="Dz5"/>
    <x v="198"/>
    <s v="Dzērumi"/>
    <s v="Atpūtas vieta pie Misas upes"/>
    <n v="80700182081"/>
    <s v="Pašvaldība"/>
    <s v="Potenciāla publiskā ārtelpa"/>
    <m/>
    <m/>
    <s v="Atpūtas vieta pie ūdens"/>
    <m/>
    <m/>
    <m/>
    <m/>
    <s v="Labiekārtotas atpūtas vietas pie ūdens izveide. Krasta sakopšana. Labiekārtojuma elemetnu izbūve (soliņi, atkritumu urnas, velosipēdu statīvi)"/>
    <s v="Atpūtas vieta pie ūdens, labiekārtošana "/>
    <s v="Atpūtas vieta pie ūdens, labiekārtošana"/>
    <n v="1"/>
    <s v="gab."/>
    <n v="7160"/>
    <n v="7160"/>
    <n v="350"/>
    <n v="1"/>
    <n v="4"/>
    <n v="16800"/>
    <n v="16800"/>
    <n v="0.83333333333333337"/>
    <n v="0.42619047619047618"/>
    <n v="7"/>
  </r>
  <r>
    <s v="D18"/>
    <x v="199"/>
    <s v="Daugmale"/>
    <s v="Mikromobilitātes punkts Daugmalē (vieta jāprecizē), stāvlaukums pie pieturas?"/>
    <s v="vietā jāprecizē"/>
    <m/>
    <s v="Potenciāla publiskā ārtelpa"/>
    <m/>
    <m/>
    <s v="Mobilitāte"/>
    <m/>
    <m/>
    <m/>
    <m/>
    <s v="Mikromobilitātes punkta izveide"/>
    <s v="Mikromobilitātes punkta izveide"/>
    <s v="Mikromobilitātes punkta izveide"/>
    <n v="1"/>
    <s v="gab."/>
    <n v="20000"/>
    <n v="20000"/>
    <n v="800"/>
    <n v="0.2"/>
    <n v="20"/>
    <n v="38400"/>
    <n v="192000"/>
    <n v="0.52083333333333337"/>
    <n v="0.10416666666666667"/>
    <n v="3"/>
  </r>
  <r>
    <s v="D19"/>
    <x v="200"/>
    <s v="Daugmale"/>
    <s v="Laivošanas maršruts pa Daugavu apkārt Nāves salai  "/>
    <s v="-"/>
    <s v="-"/>
    <s v="Potenciāla publiskā ārtelpa"/>
    <m/>
    <m/>
    <s v="Aktīvās atpūtas teritorija "/>
    <m/>
    <m/>
    <m/>
    <m/>
    <s v="Laivošanas maršruta izveide. Tīrīšana un uzturēšana"/>
    <s v="Laivošanas maršruta izveide. Tīrīšana un uzturēšana"/>
    <s v="Laivošanas maršruta izveide. Tīrīšana un uzturēšana"/>
    <n v="4.5"/>
    <s v="km"/>
    <n v="10000"/>
    <n v="10000"/>
    <n v="500"/>
    <n v="1"/>
    <n v="1"/>
    <n v="6000"/>
    <n v="6000"/>
    <n v="1.6666666666666667"/>
    <n v="1.6666666666666667"/>
    <n v="7"/>
  </r>
  <r>
    <s v="D20"/>
    <x v="201"/>
    <s v="Daugmale"/>
    <s v="Veloceļš Dzintari - Bēģļu ceļš"/>
    <s v="-"/>
    <s v="Valsts"/>
    <s v="Potenciāla publiskā ārtelpa"/>
    <m/>
    <m/>
    <s v="Transporta infrastruktūra (Gājēju un velosipēdu infrastruktūra)"/>
    <m/>
    <m/>
    <m/>
    <m/>
    <s v="Nepieciešamība savienot Daugmales apkaimes infrastruktūru un nodrošināt drošu iedzīvotāju pārvietošanos pa reģionālās nozīmes autoceļu"/>
    <s v="Transporta infrastruktūra - kājāmgājēju un velosipedistu infrastruktūras izveide"/>
    <s v="Transporta infrastruktūra - kājāmgājēju infrastruktūras izveide"/>
    <n v="10000"/>
    <s v="m2"/>
    <n v="42"/>
    <n v="420000"/>
    <n v="700"/>
    <n v="1"/>
    <n v="10"/>
    <n v="84000"/>
    <n v="84000"/>
    <n v="5"/>
    <n v="5"/>
    <n v="1"/>
  </r>
  <r>
    <s v="D21"/>
    <x v="202"/>
    <s v="Daugmale"/>
    <s v="Potenciālās gājēju takas gar Daugavu Ķekava - Bērzmente pagarināšana līdz Daugmalei, atpūtas vietai pie ūdens pretī Nāvessalai (Ķīķerītis)"/>
    <s v="-"/>
    <s v="Pašvaldība/Valsts"/>
    <s v="Potenciāla publiskā ārtelpa"/>
    <m/>
    <m/>
    <s v="Transporta infrastruktūra (Gājēju un velosipēdu infrastruktūra)"/>
    <m/>
    <m/>
    <m/>
    <m/>
    <s v="Nepieciešams izveidot aktīvās atpūtas infrastruktūru gar Daugavu, kas veicinātu iedzīvotāju veselību un tūrisma attīstību. Veidot risinājumu saistībā ar RailBaltic izveidi"/>
    <s v="Transporta infrastruktūra - kājāmgājēju un velosipedistu infrastruktūras izveide"/>
    <s v="Transporta infrastruktūra - kājāmgājēju infrastruktūras izveide"/>
    <n v="7300"/>
    <s v="m2"/>
    <n v="42"/>
    <n v="306600"/>
    <n v="700"/>
    <n v="1"/>
    <n v="10"/>
    <n v="84000"/>
    <n v="84000"/>
    <n v="3.65"/>
    <n v="3.65"/>
    <n v="7"/>
  </r>
  <r>
    <s v="D22"/>
    <x v="203"/>
    <s v="Daugmale"/>
    <s v="Potenciālas atpūtas vietas pie pludmales &quot;Pie Bēgļu ceļa&quot; izveide (kad. nr. 80560020435) "/>
    <n v="80560020435"/>
    <s v="Pašvaldība/Valsts"/>
    <s v="Potenciāla publiskā ārtelpa"/>
    <m/>
    <m/>
    <s v="Dabas un apstādījumu teritorija (Skvērs, Parks, Mežaparks), Aktīvās atpūtas teritorija (Stadions, sporta laukumi), Atpūtas vieta pie ūdens"/>
    <m/>
    <m/>
    <m/>
    <m/>
    <s v="Ķikutu atpūtas vietas pie ūdens  ierīkošana un uzturēšana"/>
    <s v="Atpūtas vieta pie ūdens, labiekārtošana "/>
    <s v="Atpūtas vieta pie ūdens, labiekārtošana"/>
    <n v="1"/>
    <s v="gab."/>
    <n v="7160"/>
    <n v="7160"/>
    <n v="600"/>
    <n v="1"/>
    <n v="4"/>
    <n v="28800"/>
    <n v="28800"/>
    <n v="0.24861111111111112"/>
    <n v="0.24861111111111112"/>
    <n v="7"/>
  </r>
  <r>
    <s v="D23"/>
    <x v="204"/>
    <s v="Daugmale"/>
    <s v="Potenciālas atpūtas vietas  &quot;Dolomīta dīķi&quot; izveide (kad.nr.80560020332)"/>
    <n v="80560020332"/>
    <s v="Pašvaldība/Valsts"/>
    <s v="Potenciāla publiskā ārtelpa"/>
    <m/>
    <m/>
    <s v="Dabas un apstādījumu teritorija (Skvērs, Parks, Mežaparks), Aktīvās atpūtas teritorija (Stadions, sporta laukumi), Atpūtas vieta pie ūdens (kad.nr.80560020583)"/>
    <m/>
    <m/>
    <m/>
    <m/>
    <s v="Alternatīva atpūtas vieta pie ūdens ar labas kvalitātes ūdeni, draudzīgākas peldēšanas iespējas bērniem."/>
    <s v="Atpūtas vieta pie ūdens, labiekārtošana "/>
    <s v="Atpūtas vieta pie ūdens, labiekārtošana"/>
    <n v="1"/>
    <s v="gab."/>
    <n v="7160"/>
    <n v="7160"/>
    <n v="600"/>
    <n v="1"/>
    <n v="4"/>
    <n v="28800"/>
    <n v="28800"/>
    <n v="0.24861111111111112"/>
    <n v="0.24861111111111112"/>
    <n v="3"/>
  </r>
  <r>
    <s v="D24"/>
    <x v="205"/>
    <s v="Daugmale"/>
    <s v="L tipa Bērnu rotaļu laukums pie Daugmales Multifunkcionālā centra (kad.nr 80560020583)"/>
    <n v="80560020583"/>
    <s v="Pašvaldība"/>
    <s v="Potenciāla publiskā ārtelpa"/>
    <m/>
    <m/>
    <s v="Dabas un apstādījumu teritorija (Skvērs, Parks, Mežaparks), Aktīvās atpūtas teritorija (Stadions, sporta laukumi), Atpūtas vieta pie ūdens"/>
    <m/>
    <m/>
    <m/>
    <m/>
    <s v="Nepieciešams moderns bērnu rotaļu laukums, ar kura palīdzību aizsākt aktīvās atpūtas parka veidošanu pie Daugmales Multifunkcionālā centra. "/>
    <s v="Rotaļu laukums (L)"/>
    <s v="Bērnu rotaļu un sporta laukums L"/>
    <n v="1"/>
    <s v="gab."/>
    <n v="30325"/>
    <n v="30325"/>
    <n v="100"/>
    <n v="0.5"/>
    <n v="8"/>
    <n v="4800"/>
    <n v="9600"/>
    <n v="6.317708333333333"/>
    <n v="3.1588541666666665"/>
    <n v="2"/>
  </r>
  <r>
    <s v="D25"/>
    <x v="206"/>
    <s v="Daugmale"/>
    <s v="Bērnu sportisko aktivitāšu laukums (piemēram Pumptrack)  pie Daugmales multifunkcionālā centra (kad.Nr. 80560020583)"/>
    <n v="80560020583"/>
    <s v="Pašvaldība"/>
    <s v="Potenciāla publiskā ārtelpa"/>
    <m/>
    <m/>
    <s v="Dabas un apstādījumu teritorija (Skvērs, Parks, Mežaparks), Aktīvās atpūtas teritorija (Stadions, sporta laukumi), Atpūtas vieta pie ūdens"/>
    <m/>
    <m/>
    <m/>
    <m/>
    <s v="Jauniešu sportisko aktivitāšu laukuma izveide"/>
    <s v="Aktīvās atpūtas labiekārtojuma  (L vai XL tipa)"/>
    <s v="Aktīvās atpūtas labiekārtojums  (L vai XL)"/>
    <n v="1"/>
    <s v="gab."/>
    <n v="45100"/>
    <n v="45100"/>
    <n v="150"/>
    <n v="1"/>
    <n v="8"/>
    <n v="14400"/>
    <n v="14400"/>
    <n v="3.1319444444444446"/>
    <n v="3.1319444444444446"/>
    <n v="3"/>
  </r>
  <r>
    <s v="D26"/>
    <x v="207"/>
    <s v="Daugmale"/>
    <s v="Aktīvās atpūtas parka izveide pie Daugmales multifunkcionālā centra (kad.nr 80560020583)"/>
    <n v="80560020583"/>
    <s v="Pašvaldība"/>
    <s v="Potenciāla publiskā ārtelpa"/>
    <m/>
    <m/>
    <s v="Dabas un apstādījumu teritorija (Skvērs, Parks, Mežaparks), Aktīvās atpūtas teritorija (Stadions, sporta laukumi), Atpūtas vieta pie ūdens"/>
    <m/>
    <m/>
    <m/>
    <m/>
    <s v="Izveidot parku, kurā iespējams gan estētiski, gan aktīvi atpūsties. "/>
    <s v="Parks"/>
    <s v="Parks "/>
    <n v="10000"/>
    <s v="m2"/>
    <n v="50"/>
    <n v="500000"/>
    <n v="200"/>
    <n v="1"/>
    <n v="8"/>
    <n v="19200"/>
    <n v="19200"/>
    <n v="26.041666666666668"/>
    <n v="26.041666666666668"/>
    <n v="7"/>
  </r>
  <r>
    <s v="D27"/>
    <x v="208"/>
    <s v="Daugmale"/>
    <s v="Daugmales pamatskolas sporta laukums (kad.nr.80560020269)"/>
    <n v="80560020269"/>
    <s v="Pašvaldība"/>
    <s v="Esoša publiskā ārtelpa"/>
    <m/>
    <m/>
    <s v="Dabas un apstādījumu teritorija (Skvērs, Parks, Mežaparks), Aktīvās atpūtas teritorija (Stadions, sporta laukumi), Atpūtas vieta pie ūdens"/>
    <m/>
    <m/>
    <m/>
    <m/>
    <s v=" Daugmales sporta laukuma izbūve. Disciplīnas - skriešanas celiņš, vieglatlētikas disciplīnas elementi."/>
    <s v="Publiskais sporta laukums"/>
    <s v="Publiskais sporta laukums"/>
    <n v="1"/>
    <s v="m2"/>
    <n v="50"/>
    <n v="50"/>
    <n v="400"/>
    <n v="1"/>
    <n v="15"/>
    <n v="72000"/>
    <n v="72000"/>
    <n v="6.9444444444444447E-4"/>
    <n v="6.9444444444444447E-4"/>
    <n v="1"/>
  </r>
  <r>
    <s v="D28"/>
    <x v="209"/>
    <s v="Daugmale"/>
    <s v="Sabiedriskā transporta pieturas abos virzienos &quot;Dzintari&quot; uz autoceļa P85 (Rīgas HES - Jaunjelgava)"/>
    <n v="80560010279"/>
    <s v="Valsts"/>
    <s v="Esoša publiskā ārtelpa"/>
    <m/>
    <m/>
    <s v="Sabiedriskā  transporta pieturas"/>
    <m/>
    <m/>
    <m/>
    <m/>
    <s v="Veikt pieturas pārbūvi, veidojot  M tipa sabiedriskā transporta pieturu."/>
    <s v="Sabiedriskā transporta pietura (M)"/>
    <s v="Sabiedriskā transporta pietura (M)"/>
    <n v="1"/>
    <s v="gab."/>
    <n v="6890"/>
    <n v="6890"/>
    <n v="50"/>
    <n v="0.3"/>
    <n v="8"/>
    <n v="1440"/>
    <n v="4800"/>
    <n v="4.7847222222222223"/>
    <n v="1.4354166666666666"/>
    <n v="1"/>
  </r>
  <r>
    <s v="D29"/>
    <x v="210"/>
    <s v="Daugmale"/>
    <s v="Sabiedriskā transporta pieturas abos virzienos &quot;Bramberģe&quot;  uz autoceļa P85 (Rīgas HES - Jaunjelgava)"/>
    <n v="80560010279"/>
    <s v="Valsts"/>
    <s v="Esoša publiskā ārtelpa"/>
    <m/>
    <m/>
    <s v="Sabiedriskā  transporta pieturas"/>
    <m/>
    <m/>
    <m/>
    <m/>
    <s v="Veikt pieturas pārbūvi, veidojot  M tipa sabiedriskā transporta pieturu."/>
    <s v="Sabiedriskā transporta pietura (M)"/>
    <s v="Sabiedriskā transporta pietura (M)"/>
    <n v="1"/>
    <s v="gab."/>
    <n v="6890"/>
    <n v="6890"/>
    <n v="50"/>
    <n v="0.3"/>
    <n v="8"/>
    <n v="1440"/>
    <n v="4800"/>
    <n v="4.7847222222222223"/>
    <n v="1.4354166666666666"/>
    <n v="1"/>
  </r>
  <r>
    <s v="D30"/>
    <x v="211"/>
    <s v="Daugmale"/>
    <s v="Sabiedriskā transporta pieturas abos virzienos &quot;Birzītes&quot; uz autoceļa P85 (Rīgas HES - Jaunjelgava)"/>
    <n v="80560010279"/>
    <s v="Valsts"/>
    <s v="Esoša publiskā ārtelpa"/>
    <m/>
    <m/>
    <s v="Sabiedriskā  transporta pieturas"/>
    <m/>
    <m/>
    <m/>
    <m/>
    <s v="Veikt pieturas pārbūvi, veidojot  M tipa sabiedriskā transporta pieturu."/>
    <s v="Sabiedriskā transporta pietura (M)"/>
    <s v="Sabiedriskā transporta pietura (M)"/>
    <n v="1"/>
    <s v="gab."/>
    <n v="6890"/>
    <n v="6890"/>
    <n v="50"/>
    <n v="0.3"/>
    <n v="8"/>
    <n v="1440"/>
    <n v="4800"/>
    <n v="4.7847222222222223"/>
    <n v="1.4354166666666666"/>
    <n v="1"/>
  </r>
  <r>
    <s v="D31"/>
    <x v="212"/>
    <s v="Daugmale"/>
    <s v="Sabiedriskā transporta pietura &quot;Skola&quot; Rīgas virziens uz autoceļa P85 (Rīgas HES - Jaunjelgava)"/>
    <n v="80560010279"/>
    <s v="Valsts"/>
    <s v="Esoša publiskā ārtelpa"/>
    <m/>
    <m/>
    <s v="Sabiedriskā  transporta pieturas"/>
    <m/>
    <m/>
    <m/>
    <m/>
    <s v="M tipa pietura Rīgas virzienā ir izveidota"/>
    <s v="Sabiedriskā transporta pietura (M)"/>
    <s v="Sabiedriskā transporta pietura (M)"/>
    <n v="1"/>
    <s v="gab."/>
    <n v="6890"/>
    <n v="6890"/>
    <n v="200"/>
    <n v="0.3"/>
    <n v="8"/>
    <n v="5760"/>
    <n v="19200"/>
    <n v="1.1961805555555556"/>
    <n v="0.35885416666666664"/>
    <n v="1"/>
  </r>
  <r>
    <s v="D32"/>
    <x v="213"/>
    <s v="Daugmale"/>
    <s v="Sabiedriskā transporta pietura &quot;Skola&quot; Kalniņu virziens uz autoceļa P85 (Rīgas HES - Jaunjelgava)"/>
    <n v="80560010279"/>
    <s v="Valsts"/>
    <s v="Esoša publiskā ārtelpa"/>
    <m/>
    <m/>
    <s v="Sabiedriskā  transporta pieturas"/>
    <m/>
    <m/>
    <m/>
    <m/>
    <s v="S tipa pieturvieta "/>
    <s v="Sabiedriskā transporta pietura (S)"/>
    <s v="Sabiedriskā transporta pietura (S)"/>
    <n v="1"/>
    <s v="gab."/>
    <n v="4295"/>
    <n v="4295"/>
    <n v="200"/>
    <n v="0.3"/>
    <n v="8"/>
    <n v="5760"/>
    <n v="19200"/>
    <n v="0.74565972222222221"/>
    <n v="0.22369791666666666"/>
    <n v="1"/>
  </r>
  <r>
    <s v="D33"/>
    <x v="214"/>
    <s v="Daugmale"/>
    <s v="Gājēju ietves izbūve - Pikstu ceļš"/>
    <n v="80560020573"/>
    <s v="Pašvaldība"/>
    <s v="Esoša publiskā ārtelpa"/>
    <m/>
    <m/>
    <s v="Transporta infrastruktūra (Gājēju un velosipēdu infrastruktūra)"/>
    <m/>
    <m/>
    <m/>
    <m/>
    <s v="Infrastruktūras attīstība - augsta gājēju intensitāte visās sezonās, jo iedzīvotāji šo izmanto kā garāku pastaigu ceļu."/>
    <s v="Transporta infrastruktūra - kājāmgājēju infrastruktūras izveide"/>
    <s v="Transporta infrastruktūra - kājāmgājēju infrastruktūras izveide"/>
    <n v="2000"/>
    <s v="m2"/>
    <n v="42"/>
    <n v="84000"/>
    <n v="200"/>
    <n v="0.5"/>
    <n v="10"/>
    <n v="12000"/>
    <n v="24000"/>
    <n v="7"/>
    <n v="3.5"/>
    <n v="7"/>
  </r>
  <r>
    <s v="D34"/>
    <x v="215"/>
    <s v="Daugmale"/>
    <s v="Gājēju ietves izbūve - Kompleksa  ceļš"/>
    <n v="80560020573"/>
    <s v="Pašvaldība"/>
    <s v="Esoša publiskā ārtelpa"/>
    <m/>
    <m/>
    <s v="Transporta infrastruktūra (Gājēju un velosipēdu infrastruktūra)"/>
    <m/>
    <m/>
    <m/>
    <m/>
    <s v="Infrastruktūras attīstība - augsta gājēju intensitāte visās sezonās, jo iedzīvotāji šo izmanto kā garāku pastaigu ceļu."/>
    <s v="Transporta infrastruktūra - kājāmgājēju infrastruktūras izveide"/>
    <s v="Transporta infrastruktūra - kājāmgājēju infrastruktūras izveide"/>
    <n v="3000"/>
    <s v="m2"/>
    <n v="42"/>
    <n v="126000"/>
    <n v="200"/>
    <n v="0.5"/>
    <n v="10"/>
    <n v="12000"/>
    <n v="24000"/>
    <n v="10.5"/>
    <n v="5.25"/>
    <n v="7"/>
  </r>
  <r>
    <s v="D35"/>
    <x v="216"/>
    <s v="Daugmale"/>
    <s v="Atpūtas vietas izveide (pie Daugmales dīķa) Cibuļos (kad. nr. 80560020271, zemes gabalas pie Raģu ceļa)"/>
    <n v="80560020271"/>
    <s v="Pašvaldība"/>
    <s v="Potenciāla publiskā ārtelpa"/>
    <m/>
    <m/>
    <s v="Dabas un apstādījumu teritorija"/>
    <m/>
    <m/>
    <m/>
    <m/>
    <s v="Atpūtas vietas pie ūdens labiekārtošana. Potenciāla bērnu laukuma vietas izveide"/>
    <s v="Atpūtas vieta pie ūdens, labiekārtošana "/>
    <s v="Atpūtas vieta pie ūdens, labiekārtošana"/>
    <n v="1"/>
    <s v="gab."/>
    <n v="7160"/>
    <n v="7160"/>
    <n v="500"/>
    <n v="1"/>
    <n v="5"/>
    <n v="30000"/>
    <n v="30000"/>
    <n v="0.23866666666666667"/>
    <n v="0.23866666666666667"/>
    <n v="2"/>
  </r>
  <r>
    <s v="D36"/>
    <x v="217"/>
    <s v="Daugmale"/>
    <s v="Laivu nolaišanas vieta"/>
    <n v="80560020264"/>
    <s v="Pašvaldība"/>
    <s v="Potenciāla publiskā ārtelpa"/>
    <m/>
    <m/>
    <s v="Laivu nolaišanas vieta ūdenī"/>
    <m/>
    <m/>
    <m/>
    <m/>
    <s v="Laivu nolaišanas vieta"/>
    <s v="Laivu nolaišanas vietas ūdenī izbūve"/>
    <s v="Laivu nolaišanas vietas ūdenī izbūve"/>
    <n v="1"/>
    <s v="gab."/>
    <n v="15000"/>
    <n v="15000"/>
    <n v="100"/>
    <n v="0.5"/>
    <n v="0.5"/>
    <n v="300"/>
    <n v="600"/>
    <n v="50"/>
    <n v="25"/>
    <n v="3"/>
  </r>
  <r>
    <s v="D37"/>
    <x v="218"/>
    <s v="Daugmale"/>
    <s v="Sabiedriskā transporta pietura &quot;Kalniņi&quot; pie P89"/>
    <n v="80250020191"/>
    <s v="Valsts"/>
    <s v="Potenciāla publiskā ārtelpa"/>
    <m/>
    <m/>
    <s v="Sabiedriskā  transporta pieturas"/>
    <m/>
    <m/>
    <m/>
    <m/>
    <s v="Veikt pieturas pārbūvi, veidojot kā M tipa sabiedriskā transporta pieturu."/>
    <s v="Lietišķās atpūtas vieta (M)"/>
    <s v="Lietišķās atpūtas vieta (M)"/>
    <n v="1"/>
    <s v="gab."/>
    <n v="3150"/>
    <n v="3150"/>
    <n v="50"/>
    <n v="0.3"/>
    <n v="5"/>
    <n v="900"/>
    <n v="3000"/>
    <n v="3.5"/>
    <n v="1.05"/>
    <n v="2"/>
  </r>
  <r>
    <s v="MP1"/>
    <x v="219"/>
    <s v="Mellupi/Plakanciems "/>
    <s v="Mikromobilitātes punkts Mellupos/Plakanciemā"/>
    <s v="vietā jāprecizē"/>
    <m/>
    <s v="Potenciāla publiskā ārtelpa"/>
    <m/>
    <m/>
    <s v="Mobilitāte"/>
    <m/>
    <m/>
    <m/>
    <m/>
    <s v="Mikromobilitātes punkta izveide"/>
    <s v="Mikromobilitātes punkta izveide"/>
    <s v="Mikromobilitātes punkta izveide"/>
    <n v="1"/>
    <s v="gab."/>
    <s v=""/>
    <n v="0"/>
    <n v="150"/>
    <n v="0.2"/>
    <n v="20"/>
    <n v="7200"/>
    <n v="36000"/>
    <n v="0"/>
    <n v="0"/>
    <n v="3"/>
  </r>
  <r>
    <s v="MP2"/>
    <x v="220"/>
    <s v="Mellupi/Plakanciems "/>
    <s v="Rotaļu laukuma izveide Mellupos zemes gabalā pie autoceļa V7 (Baloži - Plakanciems - Iecava)"/>
    <n v="80700160021"/>
    <s v="Fiziska persona"/>
    <s v="Esoša publiskā ārtelpa"/>
    <m/>
    <m/>
    <s v="Dabas un apstādījumu teritorija (Skvērs, Parks, Mežaparks), Aktīvās atpūtas teritorija (Stadions, sporta laukumi)"/>
    <m/>
    <m/>
    <m/>
    <m/>
    <s v="Rotaļu laukuma izbūve pašvaldības īpašumā "/>
    <s v="Rotaļu laukums (M)"/>
    <s v="Bērnu rotaļu laukums M"/>
    <n v="1"/>
    <s v="gab."/>
    <n v="13625"/>
    <n v="13625"/>
    <n v="50"/>
    <n v="1"/>
    <n v="10"/>
    <n v="6000"/>
    <n v="6000"/>
    <n v="2.2708333333333335"/>
    <n v="2.2708333333333335"/>
    <n v="1"/>
  </r>
  <r>
    <s v="MP3"/>
    <x v="221"/>
    <s v="Mellupi/Plakanciems "/>
    <s v="Kopienas centra un rotaļu laukuma izveide Plakanciemā (kad. nr.80700160021 vai 80700140226)"/>
    <s v="80700160021 vai 80700140226"/>
    <s v="Pašvaldība"/>
    <s v="Esoša publiskā ārtelpa"/>
    <m/>
    <m/>
    <s v="Dabas un apstādījumu teritorija (Skvērs, Parks, Mežaparks), Aktīvās atpūtas teritorija (Stadions, sporta laukumi)"/>
    <m/>
    <m/>
    <m/>
    <m/>
    <s v="Rotaļu laukuma izbūve pašvaldības īpašumā "/>
    <s v="Rotaļu laukums (M)"/>
    <s v="Bērnu rotaļu laukums M"/>
    <n v="1"/>
    <s v="gab."/>
    <n v="13625"/>
    <n v="13625"/>
    <n v="50"/>
    <n v="1"/>
    <n v="10"/>
    <n v="6000"/>
    <n v="6000"/>
    <n v="2.2708333333333335"/>
    <n v="2.2708333333333335"/>
    <n v="2"/>
  </r>
  <r>
    <s v="MP4"/>
    <x v="222"/>
    <s v="Mellupi/Plakanciems "/>
    <s v="Laivu nolaišanas vieta ūdenī abpus ceļam."/>
    <n v="80700140137"/>
    <s v="Valsts"/>
    <s v="Potenciāla publiskā ārtelpa"/>
    <m/>
    <m/>
    <s v="Laivu nolaišanas vieta ūdenī"/>
    <m/>
    <m/>
    <m/>
    <m/>
    <s v="Laivu nolaišanas vieta"/>
    <s v="Laivu nolaišanas vietas ūdenī izbūve"/>
    <s v="Laivu nolaišanas vietas ūdenī izbūve"/>
    <n v="1"/>
    <s v="gab."/>
    <n v="15000"/>
    <n v="15000"/>
    <n v="20"/>
    <n v="0.5"/>
    <n v="0.5"/>
    <n v="60"/>
    <n v="120"/>
    <n v="250"/>
    <n v="125"/>
    <n v="3"/>
  </r>
  <r>
    <s v="Dz6"/>
    <x v="223"/>
    <s v="Dzērumi"/>
    <s v="Ielas apgaismojuma izveide no Dzēruma centra līdz A7 autoceļam"/>
    <n v="80800190316"/>
    <s v="Valsts"/>
    <s v="Esoša publiskā ārtelpa"/>
    <m/>
    <m/>
    <s v="Transporta infrastruktūra (Gājēju un velosipēdu infrastruktūra)"/>
    <m/>
    <m/>
    <m/>
    <m/>
    <s v="Ielas pgaismojuma ierīkošana"/>
    <s v="Ielas pgaismojuma ierīkošana"/>
    <s v="Ielas apgaismojuma ierīkošana"/>
    <n v="4000"/>
    <s v="m"/>
    <s v=""/>
    <n v="20000"/>
    <n v="600"/>
    <n v="0.2"/>
    <n v="25"/>
    <n v="36000"/>
    <n v="180000"/>
    <n v="0.55555555555555558"/>
    <n v="0.1111111111111111"/>
    <n v="1"/>
  </r>
  <r>
    <s v="J1"/>
    <x v="224"/>
    <s v="Jenči"/>
    <s v="Rotaļu laukums adrese Baltā iela 27"/>
    <n v="80700190507"/>
    <s v="Pašvaldība"/>
    <s v="Esoša publiskā ārtelpa"/>
    <m/>
    <m/>
    <s v="Rotaļu laukuma pilnveidošana"/>
    <m/>
    <m/>
    <m/>
    <m/>
    <s v="Rotaļu laukuma pilnveidošana un papildināšnaa ar elementiem"/>
    <s v="Rotaļu laukums (M)"/>
    <s v="Bērnu rotaļu laukums M"/>
    <n v="1"/>
    <s v="gab."/>
    <n v="13625"/>
    <n v="13625"/>
    <n v="10"/>
    <n v="1"/>
    <n v="10"/>
    <n v="1200"/>
    <n v="1200"/>
    <n v="11.354166666666666"/>
    <n v="11.354166666666666"/>
    <n v="3"/>
  </r>
  <r>
    <s v="K47"/>
    <x v="225"/>
    <s v="Odukalns"/>
    <s v="Mikromobilitātes punkts Odukalnā"/>
    <s v="vietā jāprecizē"/>
    <s v="Pašvaldība"/>
    <s v="Potenciāla publiskā ārtelpa"/>
    <m/>
    <m/>
    <s v="Mobilitāte"/>
    <m/>
    <m/>
    <m/>
    <m/>
    <s v="Mikromobilitātes punkta izveide"/>
    <s v="Mikromobilitātes punkta izveide"/>
    <s v="Mikromobilitātes punkta izveide"/>
    <n v="1"/>
    <s v="gab."/>
    <n v="20000"/>
    <n v="20000"/>
    <n v="800"/>
    <n v="0.2"/>
    <n v="20"/>
    <n v="38400"/>
    <n v="192000"/>
    <n v="0.52083333333333337"/>
    <n v="0.10416666666666667"/>
    <n v="3"/>
  </r>
  <r>
    <s v="K48"/>
    <x v="226"/>
    <s v="Vimbrukrogs"/>
    <s v="Mikromobilitātes punkts  Vimbukrogā"/>
    <s v="vietā jāprecizē"/>
    <s v="Pašvaldība"/>
    <s v="Potenciāla publiskā ārtelpa"/>
    <m/>
    <m/>
    <s v="Mobilitāte"/>
    <m/>
    <m/>
    <m/>
    <m/>
    <s v="Mikromobilitātes punkta izveide"/>
    <s v="Mikromobilitātes punkta izveide"/>
    <s v="Mikromobilitātes punkta izveide"/>
    <n v="1"/>
    <s v="gab."/>
    <n v="20000"/>
    <n v="20000"/>
    <n v="700"/>
    <n v="0.2"/>
    <n v="20"/>
    <n v="33600"/>
    <n v="168000"/>
    <n v="0.59523809523809523"/>
    <n v="0.11904761904761904"/>
    <n v="3"/>
  </r>
  <r>
    <s v="K49"/>
    <x v="227"/>
    <s v="Ķekava"/>
    <s v="Reģionālais mobilitātes punkts Ķekavā Gaismas ielā 21 un/vai Gaismas ielā 20"/>
    <s v="80700081231, 80700082642"/>
    <s v="Pašvaldība"/>
    <s v="Potenciāla publiskā ārtelpa"/>
    <m/>
    <m/>
    <s v="Mobilitāte"/>
    <m/>
    <m/>
    <m/>
    <m/>
    <s v="Reģiona mobilitātes punkta izveide,kas ietver teritorijas labiekārtojumu ar autostāvvietu, elektrouzlādes vietu, velosipēdu novietņu izveidi, gājēju un velo infrastruktūru."/>
    <s v="Autostāvvietu, elektrouzlādes vietu, velosipēdu novietņu izveidi. Gājēju un velosipēdistu infrastruktūra."/>
    <s v="Autostāvvietu, elektrouzlādes vietu, velosipēdu novietņu izveidi. Gājēju un velosipēdistu infrastruktūra."/>
    <n v="1"/>
    <s v="gab."/>
    <s v=""/>
    <n v="0"/>
    <n v="8000"/>
    <n v="0.2"/>
    <n v="20"/>
    <n v="384000"/>
    <n v="1920000"/>
    <n v="0"/>
    <n v="0"/>
    <n v="2"/>
  </r>
  <r>
    <s v="K51"/>
    <x v="228"/>
    <s v="Ķekava"/>
    <s v="Seguma ierīkošana sporta spēlēm "/>
    <s v="Precizēt projektēšanas laikā "/>
    <s v="Pašvaldība"/>
    <s v="Potenciāla publiskā ārtelpa"/>
    <m/>
    <m/>
    <s v="Aktīvās atpūtas teritorija"/>
    <m/>
    <m/>
    <m/>
    <m/>
    <s v="Seguma (asfalts vai speciāls segums) ierīkošana , lai nodoršinātu iespēju nodarboties ar florbolu, skrituļot vai braukt ar riteņiem bērniem "/>
    <s v="Segumu ieklāšana zems rotaļu zonas "/>
    <s v="Segumu ieklāšana zem rotaļu zonas "/>
    <n v="600"/>
    <s v="m2"/>
    <n v="75"/>
    <n v="45000"/>
    <n v="70"/>
    <n v="0.5"/>
    <n v="10"/>
    <n v="4200"/>
    <n v="8400"/>
    <n v="10.714285714285714"/>
    <n v="5.3571428571428568"/>
    <n v="2"/>
  </r>
  <r>
    <s v="K52"/>
    <x v="229"/>
    <s v="Ķekava"/>
    <s v="Liela mēroga galda spēļu izvietošana 3 vietās novadā "/>
    <s v="Precizēt projektēšanas laikā "/>
    <s v="Pašvaldība"/>
    <s v="Esoša publiskā ārtelpa"/>
    <m/>
    <m/>
    <s v="Aktīvās atpūtas teritorija"/>
    <m/>
    <m/>
    <m/>
    <m/>
    <s v="Izvietot liela mēroga galda spēles kā galda teniss, šahs. Piemērots izvietošanai nelielos skvēros vai L un XL tipa rotaļu laukumos. "/>
    <s v="Izvietot galda spēles"/>
    <s v="Bērnu un rotaļu laukums S"/>
    <n v="3"/>
    <s v="gab."/>
    <n v="2175"/>
    <n v="6525"/>
    <n v="1500"/>
    <n v="0.5"/>
    <n v="5"/>
    <n v="45000"/>
    <n v="90000"/>
    <n v="0.14499999999999999"/>
    <n v="7.2499999999999995E-2"/>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8779D03-160E-4593-954E-A486B9445B1F}" name="PivotTable1" cacheId="280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234" firstHeaderRow="0" firstDataRow="1" firstDataCol="1"/>
  <pivotFields count="29">
    <pivotField showAll="0"/>
    <pivotField axis="axisRow" showAll="0">
      <items count="232">
        <item x="92"/>
        <item x="93"/>
        <item x="81"/>
        <item x="94"/>
        <item x="95"/>
        <item x="96"/>
        <item x="97"/>
        <item x="98"/>
        <item x="99"/>
        <item x="100"/>
        <item x="101"/>
        <item x="102"/>
        <item x="182"/>
        <item x="183"/>
        <item x="184"/>
        <item x="185"/>
        <item x="186"/>
        <item x="82"/>
        <item x="187"/>
        <item x="188"/>
        <item x="189"/>
        <item x="190"/>
        <item x="191"/>
        <item x="192"/>
        <item x="83"/>
        <item x="84"/>
        <item m="1" x="230"/>
        <item x="85"/>
        <item x="86"/>
        <item x="87"/>
        <item x="88"/>
        <item x="89"/>
        <item x="90"/>
        <item x="91"/>
        <item x="128"/>
        <item x="138"/>
        <item x="139"/>
        <item x="140"/>
        <item x="141"/>
        <item x="142"/>
        <item x="143"/>
        <item x="144"/>
        <item x="145"/>
        <item x="146"/>
        <item x="147"/>
        <item x="129"/>
        <item x="148"/>
        <item x="149"/>
        <item x="150"/>
        <item x="151"/>
        <item x="152"/>
        <item x="153"/>
        <item x="154"/>
        <item x="155"/>
        <item x="156"/>
        <item x="157"/>
        <item x="130"/>
        <item x="158"/>
        <item x="159"/>
        <item x="160"/>
        <item x="161"/>
        <item x="162"/>
        <item x="163"/>
        <item x="164"/>
        <item x="165"/>
        <item x="166"/>
        <item x="131"/>
        <item x="168"/>
        <item x="132"/>
        <item x="133"/>
        <item x="134"/>
        <item x="135"/>
        <item x="136"/>
        <item x="137"/>
        <item x="119"/>
        <item x="120"/>
        <item x="108"/>
        <item x="121"/>
        <item x="109"/>
        <item x="122"/>
        <item x="123"/>
        <item x="124"/>
        <item x="125"/>
        <item x="126"/>
        <item x="199"/>
        <item x="200"/>
        <item x="110"/>
        <item x="201"/>
        <item x="202"/>
        <item x="203"/>
        <item x="204"/>
        <item x="205"/>
        <item x="206"/>
        <item x="207"/>
        <item x="208"/>
        <item x="209"/>
        <item x="210"/>
        <item x="211"/>
        <item x="212"/>
        <item x="111"/>
        <item x="213"/>
        <item x="112"/>
        <item x="214"/>
        <item x="215"/>
        <item x="216"/>
        <item x="217"/>
        <item x="218"/>
        <item x="113"/>
        <item x="114"/>
        <item x="115"/>
        <item x="116"/>
        <item x="117"/>
        <item x="118"/>
        <item x="127"/>
        <item x="195"/>
        <item x="196"/>
        <item x="197"/>
        <item x="198"/>
        <item x="223"/>
        <item x="224"/>
        <item x="0"/>
        <item x="11"/>
        <item x="12"/>
        <item x="13"/>
        <item x="14"/>
        <item x="28"/>
        <item x="29"/>
        <item x="15"/>
        <item x="16"/>
        <item x="17"/>
        <item x="18"/>
        <item x="19"/>
        <item x="20"/>
        <item x="21"/>
        <item x="26"/>
        <item x="27"/>
        <item x="22"/>
        <item x="23"/>
        <item x="1"/>
        <item x="24"/>
        <item x="2"/>
        <item x="34"/>
        <item x="35"/>
        <item x="36"/>
        <item x="37"/>
        <item x="38"/>
        <item x="39"/>
        <item x="40"/>
        <item x="41"/>
        <item x="42"/>
        <item x="43"/>
        <item x="44"/>
        <item x="45"/>
        <item x="46"/>
        <item x="47"/>
        <item x="3"/>
        <item x="48"/>
        <item x="4"/>
        <item x="49"/>
        <item x="50"/>
        <item x="51"/>
        <item x="52"/>
        <item x="53"/>
        <item x="169"/>
        <item x="55"/>
        <item x="170"/>
        <item x="171"/>
        <item x="172"/>
        <item x="173"/>
        <item x="5"/>
        <item x="174"/>
        <item x="175"/>
        <item x="176"/>
        <item x="177"/>
        <item x="178"/>
        <item x="179"/>
        <item x="180"/>
        <item x="181"/>
        <item x="225"/>
        <item x="226"/>
        <item x="227"/>
        <item x="6"/>
        <item x="228"/>
        <item x="229"/>
        <item x="7"/>
        <item x="8"/>
        <item x="30"/>
        <item x="31"/>
        <item x="32"/>
        <item x="33"/>
        <item x="9"/>
        <item x="10"/>
        <item x="219"/>
        <item x="220"/>
        <item x="221"/>
        <item x="222"/>
        <item x="25"/>
        <item x="64"/>
        <item x="65"/>
        <item x="66"/>
        <item x="67"/>
        <item x="68"/>
        <item x="69"/>
        <item x="70"/>
        <item x="71"/>
        <item x="72"/>
        <item x="73"/>
        <item x="74"/>
        <item x="63"/>
        <item x="75"/>
        <item x="76"/>
        <item x="77"/>
        <item x="78"/>
        <item x="79"/>
        <item x="80"/>
        <item x="103"/>
        <item x="104"/>
        <item x="105"/>
        <item x="106"/>
        <item x="107"/>
        <item x="193"/>
        <item x="56"/>
        <item x="194"/>
        <item x="57"/>
        <item x="62"/>
        <item x="58"/>
        <item x="59"/>
        <item x="60"/>
        <item n="13-2" x="61"/>
        <item x="54"/>
        <item x="16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dataField="1" showAll="0"/>
    <pivotField dataField="1" showAll="0"/>
    <pivotField showAll="0"/>
    <pivotField showAll="0"/>
    <pivotField dataField="1" showAll="0"/>
  </pivotFields>
  <rowFields count="1">
    <field x="1"/>
  </rowFields>
  <rowItems count="231">
    <i>
      <x/>
    </i>
    <i>
      <x v="1"/>
    </i>
    <i>
      <x v="2"/>
    </i>
    <i>
      <x v="3"/>
    </i>
    <i>
      <x v="4"/>
    </i>
    <i>
      <x v="5"/>
    </i>
    <i>
      <x v="6"/>
    </i>
    <i>
      <x v="7"/>
    </i>
    <i>
      <x v="8"/>
    </i>
    <i>
      <x v="9"/>
    </i>
    <i>
      <x v="10"/>
    </i>
    <i>
      <x v="11"/>
    </i>
    <i>
      <x v="12"/>
    </i>
    <i>
      <x v="13"/>
    </i>
    <i>
      <x v="14"/>
    </i>
    <i>
      <x v="15"/>
    </i>
    <i>
      <x v="16"/>
    </i>
    <i>
      <x v="17"/>
    </i>
    <i>
      <x v="18"/>
    </i>
    <i>
      <x v="19"/>
    </i>
    <i>
      <x v="20"/>
    </i>
    <i>
      <x v="21"/>
    </i>
    <i>
      <x v="22"/>
    </i>
    <i>
      <x v="23"/>
    </i>
    <i>
      <x v="24"/>
    </i>
    <i>
      <x v="25"/>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t="grand">
      <x/>
    </i>
  </rowItems>
  <colFields count="1">
    <field x="-2"/>
  </colFields>
  <colItems count="5">
    <i>
      <x/>
    </i>
    <i i="1">
      <x v="1"/>
    </i>
    <i i="2">
      <x v="2"/>
    </i>
    <i i="3">
      <x v="3"/>
    </i>
    <i i="4">
      <x v="4"/>
    </i>
  </colItems>
  <dataFields count="5">
    <dataField name="Sum of Izmaksas" fld="20" baseField="0" baseItem="0"/>
    <dataField name="Max of mērķauditorija " fld="21" subtotal="max" baseField="0" baseItem="0"/>
    <dataField name="Max of Infrastruktūras izmantošanas rādītājs cilvēku apmeklējumi gadā " fld="25" subtotal="max" baseField="0" baseItem="0"/>
    <dataField name="Sum of Infrastruktūras izmantošanas rādītājs cilvēkstundās gadā " fld="24" baseField="0" baseItem="0"/>
    <dataField name="Average of Prioritāte" fld="2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dzīvota_vieta" xr10:uid="{00000000-0013-0000-FFFF-FFFF01000000}" sourceName="Apdzīvota vieta">
  <extLst>
    <x:ext xmlns:x15="http://schemas.microsoft.com/office/spreadsheetml/2010/11/main" uri="{2F2917AC-EB37-4324-AD4E-5DD8C200BD13}">
      <x15:tableSlicerCache tableId="4"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dzīvota vieta" xr10:uid="{00000000-0014-0000-FFFF-FFFF01000000}" cache="Slicer_Apdzīvota_vieta" caption="Apdzīvota vieta" startItem="19" style="SlicerStyleLight4" rowHeight="23071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1:O241" totalsRowShown="0" headerRowDxfId="19" dataDxfId="18" headerRowBorderDxfId="16" tableBorderDxfId="17" totalsRowBorderDxfId="15">
  <autoFilter ref="A11:O241" xr:uid="{00000000-0009-0000-0100-000004000000}"/>
  <sortState xmlns:xlrd2="http://schemas.microsoft.com/office/spreadsheetml/2017/richdata2" ref="A12:O238">
    <sortCondition ref="L11:L238"/>
  </sortState>
  <tableColumns count="15">
    <tableColumn id="1" xr3:uid="{00000000-0010-0000-0000-000001000000}" name="Rīcības kods" dataDxfId="14"/>
    <tableColumn id="2" xr3:uid="{00000000-0010-0000-0000-000002000000}" name="Apdzīvota vieta" dataDxfId="13"/>
    <tableColumn id="4" xr3:uid="{00000000-0010-0000-0000-000004000000}" name="Objekts" dataDxfId="12">
      <calculatedColumnFormula>VLOOKUP(Table4[[#This Row],[Rīcības kods]],Rīcibas_plans!$B$4:$D$234,3,FALSE)</calculatedColumnFormula>
    </tableColumn>
    <tableColumn id="5" xr3:uid="{00000000-0010-0000-0000-000005000000}" name="Darbi objektā" dataDxfId="11">
      <calculatedColumnFormula>VLOOKUP($A12,'Pivot rīcības un objekti'!$A$4:$U$193,21,FALSE)</calculatedColumnFormula>
    </tableColumn>
    <tableColumn id="6" xr3:uid="{00000000-0010-0000-0000-000006000000}" name="Rangs-1 (merķauditorija)" dataDxfId="10">
      <calculatedColumnFormula>VLOOKUP($A12,'Pivot rīcības un objekti'!$A$4:$U$193,E$9,FALSE)</calculatedColumnFormula>
    </tableColumn>
    <tableColumn id="7" xr3:uid="{00000000-0010-0000-0000-000007000000}" name="Rangs-2 (apmeklējumi gadā)" dataDxfId="9">
      <calculatedColumnFormula>VLOOKUP($A12,'Pivot rīcības un objekti'!$A$4:$U$193,F$9,FALSE)</calculatedColumnFormula>
    </tableColumn>
    <tableColumn id="8" xr3:uid="{00000000-0010-0000-0000-000008000000}" name="Rangs-3 (cilvēkstundas gadā)" dataDxfId="8">
      <calculatedColumnFormula>VLOOKUP($A12,'Pivot rīcības un objekti'!$A$4:$U$193,G$9,FALSE)</calculatedColumnFormula>
    </tableColumn>
    <tableColumn id="9" xr3:uid="{00000000-0010-0000-0000-000009000000}" name="Rangs-4 (merķauditorija /EUR)" dataDxfId="7">
      <calculatedColumnFormula>VLOOKUP($A12,'Pivot rīcības un objekti'!$A$4:$U$193,H$9,FALSE)</calculatedColumnFormula>
    </tableColumn>
    <tableColumn id="10" xr3:uid="{00000000-0010-0000-0000-00000A000000}" name="Rangs-5 (apmeklējumi gadā/EUR)" dataDxfId="6">
      <calculatedColumnFormula>VLOOKUP($A12,'Pivot rīcības un objekti'!$A$4:$U$192,I$9,FALSE)</calculatedColumnFormula>
    </tableColumn>
    <tableColumn id="11" xr3:uid="{00000000-0010-0000-0000-00000B000000}" name="Rangs-6 (cilvēkstundas gadā/EUR)" dataDxfId="5">
      <calculatedColumnFormula>VLOOKUP($A12,'Pivot rīcības un objekti'!$A$4:$U$192,J$9,FALSE)</calculatedColumnFormula>
    </tableColumn>
    <tableColumn id="12" xr3:uid="{00000000-0010-0000-0000-00000C000000}" name="Vidējais rangs" dataDxfId="4">
      <calculatedColumnFormula>VLOOKUP(Table4[[#This Row],[Rīcības kods]],'Pivot rīcības un objekti'!$A$4:$T$232,19,FALSE)</calculatedColumnFormula>
    </tableColumn>
    <tableColumn id="13" xr3:uid="{00000000-0010-0000-0000-00000D000000}" name="Prioritāte pēc kvalitatīvajiem kritērijiem" dataDxfId="3">
      <calculatedColumnFormula>VLOOKUP(Table4[[#This Row],[Rīcības kods]],'Pivot rīcības un objekti'!$A$4:$F$232,6,FALSE)</calculatedColumnFormula>
    </tableColumn>
    <tableColumn id="14" xr3:uid="{00000000-0010-0000-0000-00000E000000}" name="Izmaksas, EUR" dataDxfId="2">
      <calculatedColumnFormula>VLOOKUP(Table4[[#This Row],[Rīcības kods]],'Pivot rīcības un objekti'!$A$4:$F$232,2,FALSE)</calculatedColumnFormula>
    </tableColumn>
    <tableColumn id="15" xr3:uid="{00000000-0010-0000-0000-00000F000000}" name="Izmaksas kumulatīvi, EUR" dataDxfId="1">
      <calculatedColumnFormula>M12+N11</calculatedColumnFormula>
    </tableColumn>
    <tableColumn id="16" xr3:uid="{00000000-0010-0000-0000-000010000000}" name="Kopā par kvalitatīvajām prioritātēm"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F0E59-2DA9-47D7-8C96-7E42F6150116}">
  <sheetPr>
    <tabColor rgb="FFFFC000"/>
  </sheetPr>
  <dimension ref="A2:C33"/>
  <sheetViews>
    <sheetView topLeftCell="A25" workbookViewId="0">
      <selection activeCell="G33" sqref="G33"/>
    </sheetView>
  </sheetViews>
  <sheetFormatPr defaultRowHeight="14.45"/>
  <cols>
    <col min="2" max="2" width="11.85546875" customWidth="1"/>
  </cols>
  <sheetData>
    <row r="2" spans="1:2" ht="34.15" customHeight="1">
      <c r="A2" s="362" t="s">
        <v>0</v>
      </c>
    </row>
    <row r="4" spans="1:2">
      <c r="A4" t="s">
        <v>1</v>
      </c>
    </row>
    <row r="5" spans="1:2">
      <c r="A5" s="367" t="s">
        <v>2</v>
      </c>
      <c r="B5" s="363"/>
    </row>
    <row r="6" spans="1:2">
      <c r="A6" t="s">
        <v>3</v>
      </c>
    </row>
    <row r="7" spans="1:2">
      <c r="A7" t="s">
        <v>4</v>
      </c>
    </row>
    <row r="8" spans="1:2">
      <c r="A8" t="s">
        <v>5</v>
      </c>
    </row>
    <row r="9" spans="1:2">
      <c r="A9" t="s">
        <v>6</v>
      </c>
    </row>
    <row r="10" spans="1:2">
      <c r="A10" t="s">
        <v>7</v>
      </c>
    </row>
    <row r="11" spans="1:2">
      <c r="A11" t="s">
        <v>8</v>
      </c>
    </row>
    <row r="12" spans="1:2">
      <c r="A12" t="s">
        <v>9</v>
      </c>
    </row>
    <row r="13" spans="1:2">
      <c r="A13" t="s">
        <v>10</v>
      </c>
    </row>
    <row r="14" spans="1:2">
      <c r="A14" t="s">
        <v>11</v>
      </c>
    </row>
    <row r="15" spans="1:2">
      <c r="A15" t="s">
        <v>12</v>
      </c>
    </row>
    <row r="16" spans="1:2">
      <c r="A16" t="s">
        <v>13</v>
      </c>
    </row>
    <row r="17" spans="1:3">
      <c r="A17" t="s">
        <v>14</v>
      </c>
    </row>
    <row r="19" spans="1:3">
      <c r="A19" s="368" t="s">
        <v>15</v>
      </c>
      <c r="B19" s="369"/>
      <c r="C19" s="369"/>
    </row>
    <row r="20" spans="1:3">
      <c r="A20" t="s">
        <v>16</v>
      </c>
    </row>
    <row r="21" spans="1:3">
      <c r="A21" t="s">
        <v>17</v>
      </c>
    </row>
    <row r="23" spans="1:3">
      <c r="A23" s="371" t="s">
        <v>18</v>
      </c>
      <c r="B23" s="370"/>
    </row>
    <row r="24" spans="1:3">
      <c r="A24" t="s">
        <v>19</v>
      </c>
    </row>
    <row r="25" spans="1:3">
      <c r="A25" t="s">
        <v>20</v>
      </c>
    </row>
    <row r="26" spans="1:3">
      <c r="A26" t="s">
        <v>21</v>
      </c>
    </row>
    <row r="27" spans="1:3">
      <c r="A27" t="s">
        <v>22</v>
      </c>
    </row>
    <row r="28" spans="1:3">
      <c r="A28" t="s">
        <v>23</v>
      </c>
    </row>
    <row r="29" spans="1:3">
      <c r="A29" t="s">
        <v>24</v>
      </c>
    </row>
    <row r="30" spans="1:3">
      <c r="A30" t="s">
        <v>25</v>
      </c>
    </row>
    <row r="32" spans="1:3">
      <c r="A32" s="62" t="s">
        <v>26</v>
      </c>
    </row>
    <row r="33" spans="1:1">
      <c r="A33" t="s">
        <v>27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249977111117893"/>
  </sheetPr>
  <dimension ref="A1:U234"/>
  <sheetViews>
    <sheetView topLeftCell="A7" zoomScale="70" zoomScaleNormal="70" workbookViewId="0">
      <selection activeCell="P13" sqref="P13"/>
    </sheetView>
  </sheetViews>
  <sheetFormatPr defaultColWidth="8.7109375" defaultRowHeight="14.45"/>
  <cols>
    <col min="1" max="1" width="13.85546875" bestFit="1" customWidth="1"/>
    <col min="2" max="2" width="15.28515625" bestFit="1" customWidth="1"/>
    <col min="3" max="3" width="21.140625" bestFit="1" customWidth="1"/>
    <col min="4" max="4" width="28.42578125" customWidth="1"/>
    <col min="5" max="5" width="35.5703125" customWidth="1"/>
    <col min="6" max="6" width="19.7109375" bestFit="1" customWidth="1"/>
    <col min="7" max="7" width="17.7109375" bestFit="1" customWidth="1"/>
    <col min="8" max="9" width="3.7109375" customWidth="1"/>
    <col min="10" max="10" width="17.42578125" customWidth="1"/>
    <col min="11" max="11" width="15.7109375" customWidth="1"/>
    <col min="12" max="12" width="19.140625" customWidth="1"/>
    <col min="13" max="13" width="13.42578125" customWidth="1"/>
    <col min="14" max="14" width="11" customWidth="1"/>
    <col min="15" max="15" width="11.28515625" customWidth="1"/>
    <col min="16" max="16" width="12.140625" customWidth="1"/>
    <col min="17" max="17" width="13.140625" customWidth="1"/>
    <col min="18" max="18" width="11.7109375" customWidth="1"/>
    <col min="19" max="19" width="10.42578125" style="61" customWidth="1"/>
    <col min="20" max="20" width="38.42578125" customWidth="1"/>
    <col min="21" max="21" width="23.42578125" customWidth="1"/>
  </cols>
  <sheetData>
    <row r="1" spans="1:21" ht="25.5" customHeight="1">
      <c r="A1" s="69" t="s">
        <v>28</v>
      </c>
    </row>
    <row r="2" spans="1:21">
      <c r="A2">
        <v>1</v>
      </c>
      <c r="B2">
        <v>2</v>
      </c>
      <c r="C2">
        <v>3</v>
      </c>
      <c r="D2">
        <v>4</v>
      </c>
      <c r="E2">
        <v>5</v>
      </c>
      <c r="F2">
        <v>6</v>
      </c>
      <c r="G2">
        <v>7</v>
      </c>
      <c r="H2">
        <v>8</v>
      </c>
      <c r="I2">
        <v>9</v>
      </c>
      <c r="J2">
        <v>10</v>
      </c>
      <c r="K2">
        <v>11</v>
      </c>
      <c r="L2">
        <v>12</v>
      </c>
      <c r="M2">
        <v>13</v>
      </c>
      <c r="N2">
        <v>14</v>
      </c>
      <c r="O2">
        <v>15</v>
      </c>
      <c r="P2">
        <v>16</v>
      </c>
      <c r="Q2">
        <v>17</v>
      </c>
      <c r="R2">
        <v>18</v>
      </c>
      <c r="S2">
        <v>19</v>
      </c>
      <c r="T2">
        <v>20</v>
      </c>
      <c r="U2">
        <v>21</v>
      </c>
    </row>
    <row r="3" spans="1:21" ht="61.5" customHeight="1">
      <c r="A3" s="57" t="s">
        <v>29</v>
      </c>
      <c r="B3" t="s">
        <v>30</v>
      </c>
      <c r="C3" t="s">
        <v>31</v>
      </c>
      <c r="D3" t="s">
        <v>32</v>
      </c>
      <c r="E3" t="s">
        <v>33</v>
      </c>
      <c r="F3" t="s">
        <v>34</v>
      </c>
      <c r="H3" s="59"/>
      <c r="I3" s="59"/>
      <c r="J3" s="63" t="s">
        <v>35</v>
      </c>
      <c r="K3" s="63" t="s">
        <v>36</v>
      </c>
      <c r="L3" s="63" t="s">
        <v>37</v>
      </c>
      <c r="M3" s="63" t="s">
        <v>38</v>
      </c>
      <c r="N3" s="63" t="s">
        <v>39</v>
      </c>
      <c r="O3" s="63" t="s">
        <v>40</v>
      </c>
      <c r="P3" s="63" t="s">
        <v>41</v>
      </c>
      <c r="Q3" s="63" t="s">
        <v>42</v>
      </c>
      <c r="R3" s="63" t="s">
        <v>43</v>
      </c>
      <c r="S3" s="220" t="s">
        <v>44</v>
      </c>
      <c r="T3" s="62" t="s">
        <v>45</v>
      </c>
      <c r="U3" s="62" t="s">
        <v>46</v>
      </c>
    </row>
    <row r="4" spans="1:21" ht="34.15" customHeight="1">
      <c r="A4" s="58" t="s">
        <v>47</v>
      </c>
      <c r="C4">
        <v>1500</v>
      </c>
      <c r="D4">
        <v>540000</v>
      </c>
      <c r="E4">
        <v>270000</v>
      </c>
      <c r="F4">
        <v>7</v>
      </c>
      <c r="J4" s="61" t="str">
        <f t="shared" ref="J4" si="0">IFERROR(C4/B4,"")</f>
        <v/>
      </c>
      <c r="K4" s="60" t="str">
        <f t="shared" ref="K4" si="1">IFERROR(D4/B4,"")</f>
        <v/>
      </c>
      <c r="L4" s="60" t="str">
        <f t="shared" ref="L4" si="2">IFERROR(E4/B4, "")</f>
        <v/>
      </c>
      <c r="M4">
        <f>_xlfn.RANK.EQ(C4,C$4:C$232,0)</f>
        <v>76</v>
      </c>
      <c r="N4">
        <f>_xlfn.RANK.EQ(D4,D$4:D$232,0)</f>
        <v>33</v>
      </c>
      <c r="O4">
        <f>_xlfn.RANK.EQ(E4,E$4:E$232,0)</f>
        <v>27</v>
      </c>
      <c r="P4" t="e">
        <f>_xlfn.RANK.EQ(J4,J$4:J$232,0)</f>
        <v>#VALUE!</v>
      </c>
      <c r="Q4" t="e">
        <f>_xlfn.RANK.EQ(K4,K$4:K$232,0)</f>
        <v>#VALUE!</v>
      </c>
      <c r="R4" t="e">
        <f>_xlfn.RANK.EQ(L4,L$4:L$232,0)</f>
        <v>#VALUE!</v>
      </c>
      <c r="S4" s="61" t="e">
        <f>AVERAGE(M4:R4)</f>
        <v>#VALUE!</v>
      </c>
      <c r="T4" s="59" t="str">
        <f>VLOOKUP(A4,Rīcibas_plans!$B$4:$D$234,3,FALSE)</f>
        <v>Miglas ielas gājēju un velosipēdistu infrastruktūra</v>
      </c>
      <c r="U4" s="59" t="str">
        <f>VLOOKUP(A4,Rīcibas_plans!$B$5:$Q$234,14,FALSE)</f>
        <v>Apgaismotas ietves izbūve no Saulgriežu ielas līdz Ezera ielai. Lietišķās atpūtas vietu izvietošana (S tips)</v>
      </c>
    </row>
    <row r="5" spans="1:21" ht="98.25" customHeight="1">
      <c r="A5" s="58" t="s">
        <v>48</v>
      </c>
      <c r="C5">
        <v>1500</v>
      </c>
      <c r="D5">
        <v>360000</v>
      </c>
      <c r="E5">
        <v>54000</v>
      </c>
      <c r="F5">
        <v>7</v>
      </c>
      <c r="J5" s="61" t="str">
        <f t="shared" ref="J5:J68" si="3">IFERROR(C5/B5,"")</f>
        <v/>
      </c>
      <c r="K5" s="60" t="str">
        <f t="shared" ref="K5:K68" si="4">IFERROR(D5/B5,"")</f>
        <v/>
      </c>
      <c r="L5" s="60" t="str">
        <f t="shared" ref="L5:L68" si="5">IFERROR(E5/B5, "")</f>
        <v/>
      </c>
      <c r="M5">
        <f t="shared" ref="M5:M68" si="6">_xlfn.RANK.EQ(C5,C$4:C$232,0)</f>
        <v>76</v>
      </c>
      <c r="N5">
        <f t="shared" ref="N5:N68" si="7">_xlfn.RANK.EQ(D5,D$4:D$232,0)</f>
        <v>43</v>
      </c>
      <c r="O5">
        <f t="shared" ref="O5:O68" si="8">_xlfn.RANK.EQ(E5,E$4:E$232,0)</f>
        <v>76</v>
      </c>
      <c r="P5" t="e">
        <f t="shared" ref="P5:P68" si="9">_xlfn.RANK.EQ(J5,J$4:J$232,0)</f>
        <v>#VALUE!</v>
      </c>
      <c r="Q5" t="e">
        <f t="shared" ref="Q5:Q68" si="10">_xlfn.RANK.EQ(K5,K$4:K$232,0)</f>
        <v>#VALUE!</v>
      </c>
      <c r="R5" t="e">
        <f t="shared" ref="R5:R68" si="11">_xlfn.RANK.EQ(L5,L$4:L$232,0)</f>
        <v>#VALUE!</v>
      </c>
      <c r="S5" s="61" t="e">
        <f t="shared" ref="S5:S68" si="12">AVERAGE(M5:R5)</f>
        <v>#VALUE!</v>
      </c>
      <c r="T5" s="59" t="str">
        <f>VLOOKUP(A5,Rīcibas_plans!$B$4:$D$234,3,FALSE)</f>
        <v>Miglas ielas gājēju un velosipēdistu infrastruktūra</v>
      </c>
      <c r="U5" s="59" t="str">
        <f>VLOOKUP(A5,Rīcibas_plans!$B$5:$Q$234,14,FALSE)</f>
        <v>Apgaismotas ietves izbūve no Saulgriežu ielas līdz Ezera ielai. Lietišķās atpūtas vietu izvietošana (S tips)</v>
      </c>
    </row>
    <row r="6" spans="1:21" ht="86.45">
      <c r="A6" s="58" t="s">
        <v>49</v>
      </c>
      <c r="C6">
        <v>1000</v>
      </c>
      <c r="D6">
        <v>96000</v>
      </c>
      <c r="E6">
        <v>24000</v>
      </c>
      <c r="F6">
        <v>1</v>
      </c>
      <c r="J6" s="61" t="str">
        <f t="shared" si="3"/>
        <v/>
      </c>
      <c r="K6" s="60" t="str">
        <f t="shared" si="4"/>
        <v/>
      </c>
      <c r="L6" s="60" t="str">
        <f t="shared" si="5"/>
        <v/>
      </c>
      <c r="M6">
        <f t="shared" si="6"/>
        <v>93</v>
      </c>
      <c r="N6">
        <f t="shared" si="7"/>
        <v>116</v>
      </c>
      <c r="O6">
        <f t="shared" si="8"/>
        <v>127</v>
      </c>
      <c r="P6" t="e">
        <f t="shared" si="9"/>
        <v>#VALUE!</v>
      </c>
      <c r="Q6" t="e">
        <f t="shared" si="10"/>
        <v>#VALUE!</v>
      </c>
      <c r="R6" t="e">
        <f t="shared" si="11"/>
        <v>#VALUE!</v>
      </c>
      <c r="S6" s="61" t="e">
        <f t="shared" si="12"/>
        <v>#VALUE!</v>
      </c>
      <c r="T6" s="59" t="str">
        <f>VLOOKUP(A6,Rīcibas_plans!$B$4:$D$234,3,FALSE)</f>
        <v xml:space="preserve">Uzvaras prospekts 1A, Baloži </v>
      </c>
      <c r="U6" s="59" t="str">
        <f>VLOOKUP(A6,Rīcibas_plans!$B$5:$Q$234,14,FALSE)</f>
        <v>Priekšlaukuma rekonstrukcija, funkcionālā zonējuma izmaiņas - gājēju zona, autostāvlaukums, ieejas zonas, apstādījumu zona.</v>
      </c>
    </row>
    <row r="7" spans="1:21" ht="72">
      <c r="A7" s="58" t="s">
        <v>50</v>
      </c>
      <c r="B7">
        <v>302500</v>
      </c>
      <c r="C7">
        <v>1000</v>
      </c>
      <c r="D7">
        <v>120000</v>
      </c>
      <c r="E7">
        <v>30000</v>
      </c>
      <c r="F7">
        <v>3</v>
      </c>
      <c r="J7" s="61">
        <f>IFERROR(C7/B7,"")</f>
        <v>3.3057851239669421E-3</v>
      </c>
      <c r="K7" s="60">
        <f t="shared" si="4"/>
        <v>0.39669421487603307</v>
      </c>
      <c r="L7" s="60">
        <f t="shared" si="5"/>
        <v>9.9173553719008267E-2</v>
      </c>
      <c r="M7">
        <f t="shared" si="6"/>
        <v>93</v>
      </c>
      <c r="N7">
        <f t="shared" si="7"/>
        <v>95</v>
      </c>
      <c r="O7">
        <f t="shared" si="8"/>
        <v>107</v>
      </c>
      <c r="P7">
        <f t="shared" si="9"/>
        <v>157</v>
      </c>
      <c r="Q7">
        <f t="shared" si="10"/>
        <v>150</v>
      </c>
      <c r="R7">
        <f t="shared" si="11"/>
        <v>156</v>
      </c>
      <c r="S7" s="61">
        <f t="shared" si="12"/>
        <v>126.33333333333333</v>
      </c>
      <c r="T7" s="59" t="str">
        <f>VLOOKUP(A7,Rīcibas_plans!$B$4:$D$234,3,FALSE)</f>
        <v>Titurgas ielas gājēju un velosipēdistu infrastruktūra</v>
      </c>
      <c r="U7" s="59" t="str">
        <f>VLOOKUP(A7,Rīcibas_plans!$B$5:$Q$234,14,FALSE)</f>
        <v>Apgaismotas ietves izbūve no Saulgriežu ielas līdz Ezera ielai. Lietišķās atpūtas vietu izvietošana(S tips)</v>
      </c>
    </row>
    <row r="8" spans="1:21" ht="72">
      <c r="A8" s="58" t="s">
        <v>51</v>
      </c>
      <c r="B8">
        <v>5530</v>
      </c>
      <c r="C8">
        <v>1000</v>
      </c>
      <c r="D8">
        <v>60000</v>
      </c>
      <c r="E8">
        <v>9000</v>
      </c>
      <c r="F8">
        <v>3</v>
      </c>
      <c r="J8" s="61">
        <f t="shared" si="3"/>
        <v>0.18083182640144665</v>
      </c>
      <c r="K8" s="60">
        <f t="shared" si="4"/>
        <v>10.849909584086799</v>
      </c>
      <c r="L8" s="60">
        <f t="shared" si="5"/>
        <v>1.6274864376130198</v>
      </c>
      <c r="M8">
        <f t="shared" si="6"/>
        <v>93</v>
      </c>
      <c r="N8">
        <f t="shared" si="7"/>
        <v>134</v>
      </c>
      <c r="O8">
        <f t="shared" si="8"/>
        <v>163</v>
      </c>
      <c r="P8">
        <f t="shared" si="9"/>
        <v>35</v>
      </c>
      <c r="Q8">
        <f t="shared" si="10"/>
        <v>52</v>
      </c>
      <c r="R8">
        <f t="shared" si="11"/>
        <v>71</v>
      </c>
      <c r="S8" s="61">
        <f t="shared" si="12"/>
        <v>91.333333333333329</v>
      </c>
      <c r="T8" s="59" t="str">
        <f>VLOOKUP(A8,Rīcibas_plans!$B$4:$D$234,3,FALSE)</f>
        <v>Titurgas ielas gājēju un velosipēdistu infrastruktūra</v>
      </c>
      <c r="U8" s="59" t="str">
        <f>VLOOKUP(A8,Rīcibas_plans!$B$5:$Q$234,14,FALSE)</f>
        <v>Apgaismotas ietves izbūve no Saulgriežu ielas līdz Ezera ielai. Lietišķās atpūtas vietu izvietošana(S tips)</v>
      </c>
    </row>
    <row r="9" spans="1:21" ht="72">
      <c r="A9" s="58" t="s">
        <v>52</v>
      </c>
      <c r="C9">
        <v>1000</v>
      </c>
      <c r="D9">
        <v>120000</v>
      </c>
      <c r="E9">
        <v>30000</v>
      </c>
      <c r="F9">
        <v>3</v>
      </c>
      <c r="J9" s="61" t="str">
        <f t="shared" si="3"/>
        <v/>
      </c>
      <c r="K9" s="60" t="str">
        <f t="shared" si="4"/>
        <v/>
      </c>
      <c r="L9" s="60" t="str">
        <f>IFERROR(E9/B9, "")</f>
        <v/>
      </c>
      <c r="M9">
        <f t="shared" si="6"/>
        <v>93</v>
      </c>
      <c r="N9">
        <f t="shared" si="7"/>
        <v>95</v>
      </c>
      <c r="O9">
        <f t="shared" si="8"/>
        <v>107</v>
      </c>
      <c r="P9" t="e">
        <f t="shared" si="9"/>
        <v>#VALUE!</v>
      </c>
      <c r="Q9" t="e">
        <f t="shared" si="10"/>
        <v>#VALUE!</v>
      </c>
      <c r="R9" t="e">
        <f>_xlfn.RANK.EQ(L9,L$4:L$232,0)</f>
        <v>#VALUE!</v>
      </c>
      <c r="S9" s="61" t="e">
        <f t="shared" si="12"/>
        <v>#VALUE!</v>
      </c>
      <c r="T9" s="59" t="str">
        <f>VLOOKUP(A9,Rīcibas_plans!$B$4:$D$234,3,FALSE)</f>
        <v>Lapenieku ielas gājēju un velosipēdistu infrastruktūra</v>
      </c>
      <c r="U9" s="59" t="str">
        <f>VLOOKUP(A9,Rīcibas_plans!$B$5:$Q$234,14,FALSE)</f>
        <v>Apgaismotas gājēju ietves izbūve no Ezera ielas līdz Uzvaras prospektam. Lietišķās atpūtas vietu izvietošana(S tips)</v>
      </c>
    </row>
    <row r="10" spans="1:21" ht="72">
      <c r="A10" s="58" t="s">
        <v>53</v>
      </c>
      <c r="C10">
        <v>1000</v>
      </c>
      <c r="D10">
        <v>60000</v>
      </c>
      <c r="E10">
        <v>9000</v>
      </c>
      <c r="F10">
        <v>3</v>
      </c>
      <c r="J10" s="61" t="str">
        <f t="shared" si="3"/>
        <v/>
      </c>
      <c r="K10" s="60" t="str">
        <f t="shared" si="4"/>
        <v/>
      </c>
      <c r="L10" s="60" t="str">
        <f t="shared" si="5"/>
        <v/>
      </c>
      <c r="M10">
        <f t="shared" si="6"/>
        <v>93</v>
      </c>
      <c r="N10">
        <f t="shared" si="7"/>
        <v>134</v>
      </c>
      <c r="O10">
        <f t="shared" si="8"/>
        <v>163</v>
      </c>
      <c r="P10" t="e">
        <f t="shared" si="9"/>
        <v>#VALUE!</v>
      </c>
      <c r="Q10" t="e">
        <f t="shared" si="10"/>
        <v>#VALUE!</v>
      </c>
      <c r="R10" t="e">
        <f t="shared" si="11"/>
        <v>#VALUE!</v>
      </c>
      <c r="S10" s="61" t="e">
        <f t="shared" si="12"/>
        <v>#VALUE!</v>
      </c>
      <c r="T10" s="59" t="str">
        <f>VLOOKUP(A10,Rīcibas_plans!$B$4:$D$234,3,FALSE)</f>
        <v>Lapenieku ielas gājēju un velosipēdistu infrastruktūra</v>
      </c>
      <c r="U10" s="59" t="str">
        <f>VLOOKUP(A10,Rīcibas_plans!$B$5:$Q$234,14,FALSE)</f>
        <v>Apgaismotas gājēju ietves izbūve no Ezera ielas līdz Uzvaras prospektam. Lietišķās atpūtas vietu izvietošana(S tips)</v>
      </c>
    </row>
    <row r="11" spans="1:21" ht="43.15">
      <c r="A11" s="58" t="s">
        <v>54</v>
      </c>
      <c r="C11">
        <v>1000</v>
      </c>
      <c r="D11">
        <v>120000</v>
      </c>
      <c r="E11">
        <v>30000</v>
      </c>
      <c r="F11">
        <v>1</v>
      </c>
      <c r="J11" s="61" t="str">
        <f t="shared" si="3"/>
        <v/>
      </c>
      <c r="K11" s="60" t="str">
        <f t="shared" si="4"/>
        <v/>
      </c>
      <c r="L11" s="60" t="str">
        <f t="shared" si="5"/>
        <v/>
      </c>
      <c r="M11">
        <f t="shared" si="6"/>
        <v>93</v>
      </c>
      <c r="N11">
        <f t="shared" si="7"/>
        <v>95</v>
      </c>
      <c r="O11">
        <f t="shared" si="8"/>
        <v>107</v>
      </c>
      <c r="P11" t="e">
        <f t="shared" si="9"/>
        <v>#VALUE!</v>
      </c>
      <c r="Q11" t="e">
        <f t="shared" si="10"/>
        <v>#VALUE!</v>
      </c>
      <c r="R11" t="e">
        <f t="shared" si="11"/>
        <v>#VALUE!</v>
      </c>
      <c r="S11" s="61" t="e">
        <f t="shared" si="12"/>
        <v>#VALUE!</v>
      </c>
      <c r="T11" s="59" t="str">
        <f>VLOOKUP(A11,Rīcibas_plans!$B$4:$D$234,3,FALSE)</f>
        <v>Uzvaras prospekta gājēju un velosipēdistu infrastuktūra.</v>
      </c>
      <c r="U11" s="59" t="str">
        <f>VLOOKUP(A11,Rīcibas_plans!$B$5:$Q$234,14,FALSE)</f>
        <v>Rekonstruēt bojāto ietves segumu, veidot ietves līdz Lapenieku ceļam.</v>
      </c>
    </row>
    <row r="12" spans="1:21" ht="43.15">
      <c r="A12" s="58" t="s">
        <v>55</v>
      </c>
      <c r="C12">
        <v>1000</v>
      </c>
      <c r="D12">
        <v>60000</v>
      </c>
      <c r="E12">
        <v>9000</v>
      </c>
      <c r="F12">
        <v>1</v>
      </c>
      <c r="J12" s="61" t="str">
        <f t="shared" si="3"/>
        <v/>
      </c>
      <c r="K12" s="60" t="str">
        <f t="shared" si="4"/>
        <v/>
      </c>
      <c r="L12" s="60" t="str">
        <f t="shared" si="5"/>
        <v/>
      </c>
      <c r="M12">
        <f t="shared" si="6"/>
        <v>93</v>
      </c>
      <c r="N12">
        <f t="shared" si="7"/>
        <v>134</v>
      </c>
      <c r="O12">
        <f t="shared" si="8"/>
        <v>163</v>
      </c>
      <c r="P12" t="e">
        <f>_xlfn.RANK.EQ(J12,J$4:J$232,0)</f>
        <v>#VALUE!</v>
      </c>
      <c r="Q12" t="e">
        <f t="shared" si="10"/>
        <v>#VALUE!</v>
      </c>
      <c r="R12" t="e">
        <f t="shared" si="11"/>
        <v>#VALUE!</v>
      </c>
      <c r="S12" s="61" t="e">
        <f t="shared" si="12"/>
        <v>#VALUE!</v>
      </c>
      <c r="T12" s="59" t="str">
        <f>VLOOKUP(A12,Rīcibas_plans!$B$4:$D$234,3,FALSE)</f>
        <v>Uzvaras prospekta gājēju un velosipēdistu infrastuktūra.</v>
      </c>
      <c r="U12" s="59" t="str">
        <f>VLOOKUP(A12,Rīcibas_plans!$B$5:$Q$234,14,FALSE)</f>
        <v>Rekonstruēt bojāto ietves segumu, veidot ietves līdz Lapenieku ceļam.</v>
      </c>
    </row>
    <row r="13" spans="1:21" ht="57.6">
      <c r="A13" s="58" t="s">
        <v>56</v>
      </c>
      <c r="B13">
        <v>14320</v>
      </c>
      <c r="C13">
        <v>500</v>
      </c>
      <c r="D13">
        <v>120000</v>
      </c>
      <c r="E13">
        <v>18000</v>
      </c>
      <c r="F13">
        <v>1</v>
      </c>
      <c r="J13" s="61">
        <f t="shared" si="3"/>
        <v>3.4916201117318434E-2</v>
      </c>
      <c r="K13" s="60">
        <f t="shared" si="4"/>
        <v>8.3798882681564244</v>
      </c>
      <c r="L13" s="60">
        <f t="shared" si="5"/>
        <v>1.2569832402234637</v>
      </c>
      <c r="M13">
        <f t="shared" si="6"/>
        <v>149</v>
      </c>
      <c r="N13">
        <f t="shared" si="7"/>
        <v>95</v>
      </c>
      <c r="O13">
        <f t="shared" si="8"/>
        <v>135</v>
      </c>
      <c r="P13">
        <f t="shared" si="9"/>
        <v>94</v>
      </c>
      <c r="Q13">
        <f t="shared" si="10"/>
        <v>64</v>
      </c>
      <c r="R13">
        <f t="shared" si="11"/>
        <v>80</v>
      </c>
      <c r="S13" s="61">
        <f t="shared" si="12"/>
        <v>102.83333333333333</v>
      </c>
      <c r="T13" s="59" t="str">
        <f>VLOOKUP(A13,Rīcibas_plans!$B$4:$D$234,3,FALSE)</f>
        <v>Sabiedriskā transporta pieturas  "Sūkņu stacija" labiekārtojums pie zemes gabala Baložu ielā 4</v>
      </c>
      <c r="U13" s="59" t="str">
        <f>VLOOKUP(A13,Rīcibas_plans!$B$5:$Q$234,14,FALSE)</f>
        <v>Veikt pieturas pārbūvi, veidojot kā L tipa sabiedriskā transporta pieturu.</v>
      </c>
    </row>
    <row r="14" spans="1:21" ht="57.6">
      <c r="A14" s="58" t="s">
        <v>57</v>
      </c>
      <c r="B14">
        <v>14320</v>
      </c>
      <c r="C14">
        <v>2500</v>
      </c>
      <c r="D14">
        <v>600000</v>
      </c>
      <c r="E14">
        <v>90000</v>
      </c>
      <c r="F14">
        <v>1</v>
      </c>
      <c r="J14" s="61">
        <f t="shared" si="3"/>
        <v>0.17458100558659218</v>
      </c>
      <c r="K14" s="60">
        <f t="shared" si="4"/>
        <v>41.899441340782126</v>
      </c>
      <c r="L14" s="60">
        <f t="shared" si="5"/>
        <v>6.2849162011173183</v>
      </c>
      <c r="M14">
        <f t="shared" si="6"/>
        <v>55</v>
      </c>
      <c r="N14">
        <f t="shared" si="7"/>
        <v>27</v>
      </c>
      <c r="O14">
        <f t="shared" si="8"/>
        <v>56</v>
      </c>
      <c r="P14">
        <f t="shared" si="9"/>
        <v>37</v>
      </c>
      <c r="Q14">
        <f t="shared" si="10"/>
        <v>20</v>
      </c>
      <c r="R14">
        <f t="shared" si="11"/>
        <v>33</v>
      </c>
      <c r="S14" s="61">
        <f t="shared" si="12"/>
        <v>38</v>
      </c>
      <c r="T14" s="59" t="str">
        <f>VLOOKUP(A14,Rīcibas_plans!$B$4:$D$234,3,FALSE)</f>
        <v>Sabiedriskā transporta pieturas "Baloži" pie zemes gabala Rīgas ielā 19</v>
      </c>
      <c r="U14" s="59" t="str">
        <f>VLOOKUP(A14,Rīcibas_plans!$B$5:$Q$234,14,FALSE)</f>
        <v>Veikt pieturas pārbūvi, veidojot kā L tipa sabiedriskā transporta pieturu.</v>
      </c>
    </row>
    <row r="15" spans="1:21" ht="57.6">
      <c r="A15" s="58" t="s">
        <v>58</v>
      </c>
      <c r="B15">
        <v>14320</v>
      </c>
      <c r="C15">
        <v>2500</v>
      </c>
      <c r="D15">
        <v>600000</v>
      </c>
      <c r="E15">
        <v>90000</v>
      </c>
      <c r="F15">
        <v>1</v>
      </c>
      <c r="J15" s="61">
        <f t="shared" si="3"/>
        <v>0.17458100558659218</v>
      </c>
      <c r="K15" s="60">
        <f t="shared" si="4"/>
        <v>41.899441340782126</v>
      </c>
      <c r="L15" s="60">
        <f t="shared" si="5"/>
        <v>6.2849162011173183</v>
      </c>
      <c r="M15">
        <f t="shared" si="6"/>
        <v>55</v>
      </c>
      <c r="N15">
        <f t="shared" si="7"/>
        <v>27</v>
      </c>
      <c r="O15">
        <f t="shared" si="8"/>
        <v>56</v>
      </c>
      <c r="P15">
        <f t="shared" si="9"/>
        <v>37</v>
      </c>
      <c r="Q15">
        <f t="shared" si="10"/>
        <v>20</v>
      </c>
      <c r="R15">
        <f t="shared" si="11"/>
        <v>33</v>
      </c>
      <c r="S15" s="61">
        <f t="shared" si="12"/>
        <v>38</v>
      </c>
      <c r="T15" s="59" t="str">
        <f>VLOOKUP(A15,Rīcibas_plans!$B$4:$D$234,3,FALSE)</f>
        <v>Sabiedriskā transporta pietura "Skola" pie zemes gabala Rīgas ielā 14</v>
      </c>
      <c r="U15" s="59" t="str">
        <f>VLOOKUP(A15,Rīcibas_plans!$B$5:$Q$234,14,FALSE)</f>
        <v>Veikt pieturas pārbūvi, veidojot kā L tipa sabiedriskā transporta pieturu.</v>
      </c>
    </row>
    <row r="16" spans="1:21" ht="86.45">
      <c r="A16" s="58" t="s">
        <v>59</v>
      </c>
      <c r="B16">
        <v>44000</v>
      </c>
      <c r="C16">
        <v>1000</v>
      </c>
      <c r="D16">
        <v>120000</v>
      </c>
      <c r="E16">
        <v>60000</v>
      </c>
      <c r="F16">
        <v>3</v>
      </c>
      <c r="J16" s="61">
        <f t="shared" si="3"/>
        <v>2.2727272727272728E-2</v>
      </c>
      <c r="K16" s="60">
        <f t="shared" si="4"/>
        <v>2.7272727272727271</v>
      </c>
      <c r="L16" s="60">
        <f t="shared" si="5"/>
        <v>1.3636363636363635</v>
      </c>
      <c r="M16">
        <f t="shared" si="6"/>
        <v>93</v>
      </c>
      <c r="N16">
        <f t="shared" si="7"/>
        <v>95</v>
      </c>
      <c r="O16">
        <f t="shared" si="8"/>
        <v>71</v>
      </c>
      <c r="P16">
        <f t="shared" si="9"/>
        <v>103</v>
      </c>
      <c r="Q16">
        <f t="shared" si="10"/>
        <v>95</v>
      </c>
      <c r="R16">
        <f t="shared" si="11"/>
        <v>78</v>
      </c>
      <c r="S16" s="61">
        <f t="shared" si="12"/>
        <v>89.166666666666671</v>
      </c>
      <c r="T16" s="59" t="str">
        <f>VLOOKUP(A16,Rīcibas_plans!$B$4:$D$234,3,FALSE)</f>
        <v>Rīgas ielas labiekārtošana, ietves pārbūve, veloceļa izbūve</v>
      </c>
      <c r="U16" s="59" t="str">
        <f>VLOOKUP(A16,Rīcibas_plans!$B$5:$Q$234,14,FALSE)</f>
        <v>Rīgas ielas no Rīgas iela 20 līdz Skolas ielai labiekārtošana. Gājēju un velo ceļa turpinājums. Lietišķās atpūtas vietu izvietošana (S tips)</v>
      </c>
    </row>
    <row r="17" spans="1:21" ht="86.45">
      <c r="A17" s="58" t="s">
        <v>60</v>
      </c>
      <c r="B17">
        <v>11060</v>
      </c>
      <c r="C17">
        <v>1000</v>
      </c>
      <c r="D17">
        <v>120000</v>
      </c>
      <c r="E17">
        <v>18000</v>
      </c>
      <c r="F17">
        <v>1</v>
      </c>
      <c r="J17" s="61">
        <f t="shared" si="3"/>
        <v>9.0415913200723327E-2</v>
      </c>
      <c r="K17" s="60">
        <f t="shared" si="4"/>
        <v>10.849909584086799</v>
      </c>
      <c r="L17" s="60">
        <f t="shared" si="5"/>
        <v>1.6274864376130198</v>
      </c>
      <c r="M17">
        <f t="shared" si="6"/>
        <v>93</v>
      </c>
      <c r="N17">
        <f t="shared" si="7"/>
        <v>95</v>
      </c>
      <c r="O17">
        <f t="shared" si="8"/>
        <v>135</v>
      </c>
      <c r="P17">
        <f t="shared" si="9"/>
        <v>52</v>
      </c>
      <c r="Q17">
        <f t="shared" si="10"/>
        <v>52</v>
      </c>
      <c r="R17">
        <f t="shared" si="11"/>
        <v>71</v>
      </c>
      <c r="S17" s="61">
        <f t="shared" si="12"/>
        <v>83</v>
      </c>
      <c r="T17" s="59" t="str">
        <f>VLOOKUP(A17,Rīcibas_plans!$B$4:$D$234,3,FALSE)</f>
        <v>Rīgas ielas labiekārtošana, ietves pārūve, veloceļa izbūve</v>
      </c>
      <c r="U17" s="59" t="str">
        <f>VLOOKUP(A17,Rīcibas_plans!$B$5:$Q$234,14,FALSE)</f>
        <v>Rīgas ielas no Rīgas iela 20 līdz Skolas ielai labiekārtošana. Gājēju un velo ceļa turpinājums. Lietišķās atpūtas vietu izvietošana (S tips)</v>
      </c>
    </row>
    <row r="18" spans="1:21" ht="43.15">
      <c r="A18" s="58" t="s">
        <v>61</v>
      </c>
      <c r="B18">
        <v>55000</v>
      </c>
      <c r="C18">
        <v>500</v>
      </c>
      <c r="D18">
        <v>60000</v>
      </c>
      <c r="E18">
        <v>18000</v>
      </c>
      <c r="F18">
        <v>1</v>
      </c>
      <c r="J18" s="61">
        <f t="shared" si="3"/>
        <v>9.0909090909090905E-3</v>
      </c>
      <c r="K18" s="60">
        <f t="shared" si="4"/>
        <v>1.0909090909090908</v>
      </c>
      <c r="L18" s="60">
        <f t="shared" si="5"/>
        <v>0.32727272727272727</v>
      </c>
      <c r="M18">
        <f t="shared" si="6"/>
        <v>149</v>
      </c>
      <c r="N18">
        <f t="shared" si="7"/>
        <v>134</v>
      </c>
      <c r="O18">
        <f t="shared" si="8"/>
        <v>135</v>
      </c>
      <c r="P18">
        <f t="shared" si="9"/>
        <v>124</v>
      </c>
      <c r="Q18">
        <f t="shared" si="10"/>
        <v>116</v>
      </c>
      <c r="R18">
        <f t="shared" si="11"/>
        <v>119</v>
      </c>
      <c r="S18" s="61">
        <f t="shared" si="12"/>
        <v>129.5</v>
      </c>
      <c r="T18" s="59" t="str">
        <f>VLOOKUP(A18,Rīcibas_plans!$B$4:$D$234,3,FALSE)</f>
        <v xml:space="preserve">Meža ielas pārbūve.  </v>
      </c>
      <c r="U18" s="59" t="str">
        <f>VLOOKUP(A18,Rīcibas_plans!$B$5:$Q$234,14,FALSE)</f>
        <v>Meža ielas gar grāvi pārbūve posmā no Silāju ielas līdz Titurgas ezeram</v>
      </c>
    </row>
    <row r="19" spans="1:21" ht="43.15">
      <c r="A19" s="58" t="s">
        <v>62</v>
      </c>
      <c r="B19">
        <v>1500</v>
      </c>
      <c r="C19">
        <v>200</v>
      </c>
      <c r="D19">
        <v>24000</v>
      </c>
      <c r="E19">
        <v>2400</v>
      </c>
      <c r="F19">
        <v>2</v>
      </c>
      <c r="J19" s="61">
        <f t="shared" si="3"/>
        <v>0.13333333333333333</v>
      </c>
      <c r="K19" s="60">
        <f t="shared" si="4"/>
        <v>16</v>
      </c>
      <c r="L19" s="60">
        <f t="shared" si="5"/>
        <v>1.6</v>
      </c>
      <c r="M19">
        <f t="shared" si="6"/>
        <v>186</v>
      </c>
      <c r="N19">
        <f t="shared" si="7"/>
        <v>165</v>
      </c>
      <c r="O19">
        <f t="shared" si="8"/>
        <v>200</v>
      </c>
      <c r="P19">
        <f t="shared" si="9"/>
        <v>42</v>
      </c>
      <c r="Q19">
        <f t="shared" si="10"/>
        <v>40</v>
      </c>
      <c r="R19">
        <f t="shared" si="11"/>
        <v>73</v>
      </c>
      <c r="S19" s="61">
        <f t="shared" si="12"/>
        <v>117.66666666666667</v>
      </c>
      <c r="T19" s="59" t="str">
        <f>VLOOKUP(A19,Rīcibas_plans!$B$4:$D$234,3,FALSE)</f>
        <v xml:space="preserve">Grāvja tīrīšana posmā līdz Titurgas ezeram </v>
      </c>
      <c r="U19" s="59" t="str">
        <f>VLOOKUP(A19,Rīcibas_plans!$B$5:$Q$234,14,FALSE)</f>
        <v>Grāvja tīrīšana posmā Silāju ielas līdz Titurgas ezeram</v>
      </c>
    </row>
    <row r="20" spans="1:21" ht="28.9">
      <c r="A20" s="58" t="s">
        <v>63</v>
      </c>
      <c r="B20">
        <v>131400</v>
      </c>
      <c r="C20">
        <v>500</v>
      </c>
      <c r="D20">
        <v>60000</v>
      </c>
      <c r="E20">
        <v>18000</v>
      </c>
      <c r="F20">
        <v>7</v>
      </c>
      <c r="J20" s="61">
        <f t="shared" si="3"/>
        <v>3.8051750380517502E-3</v>
      </c>
      <c r="K20" s="60">
        <f t="shared" si="4"/>
        <v>0.45662100456621002</v>
      </c>
      <c r="L20" s="60">
        <f t="shared" si="5"/>
        <v>0.13698630136986301</v>
      </c>
      <c r="M20">
        <f t="shared" si="6"/>
        <v>149</v>
      </c>
      <c r="N20">
        <f t="shared" si="7"/>
        <v>134</v>
      </c>
      <c r="O20">
        <f t="shared" si="8"/>
        <v>135</v>
      </c>
      <c r="P20">
        <f t="shared" si="9"/>
        <v>150</v>
      </c>
      <c r="Q20">
        <f t="shared" si="10"/>
        <v>144</v>
      </c>
      <c r="R20">
        <f t="shared" si="11"/>
        <v>148</v>
      </c>
      <c r="S20" s="61">
        <f t="shared" si="12"/>
        <v>143.33333333333334</v>
      </c>
      <c r="T20" s="59" t="str">
        <f>VLOOKUP(A20,Rīcibas_plans!$B$4:$D$234,3,FALSE)</f>
        <v>Zālītes ielas pārbūve</v>
      </c>
      <c r="U20" s="59" t="str">
        <f>VLOOKUP(A20,Rīcibas_plans!$B$5:$Q$234,14,FALSE)</f>
        <v>Esošā granrts seguma uzlabošana</v>
      </c>
    </row>
    <row r="21" spans="1:21" ht="43.15">
      <c r="A21" s="58" t="s">
        <v>64</v>
      </c>
      <c r="C21">
        <v>1500</v>
      </c>
      <c r="D21">
        <v>270000</v>
      </c>
      <c r="E21">
        <v>270000</v>
      </c>
      <c r="F21">
        <v>1</v>
      </c>
      <c r="J21" s="61" t="str">
        <f t="shared" si="3"/>
        <v/>
      </c>
      <c r="K21" s="60" t="str">
        <f t="shared" si="4"/>
        <v/>
      </c>
      <c r="L21" s="60" t="str">
        <f t="shared" si="5"/>
        <v/>
      </c>
      <c r="M21">
        <f t="shared" si="6"/>
        <v>76</v>
      </c>
      <c r="N21">
        <f t="shared" si="7"/>
        <v>62</v>
      </c>
      <c r="O21">
        <f t="shared" si="8"/>
        <v>27</v>
      </c>
      <c r="P21" t="e">
        <f t="shared" si="9"/>
        <v>#VALUE!</v>
      </c>
      <c r="Q21" t="e">
        <f t="shared" si="10"/>
        <v>#VALUE!</v>
      </c>
      <c r="R21" t="e">
        <f t="shared" si="11"/>
        <v>#VALUE!</v>
      </c>
      <c r="S21" s="61" t="e">
        <f t="shared" si="12"/>
        <v>#VALUE!</v>
      </c>
      <c r="T21" s="59" t="str">
        <f>VLOOKUP(A21,Rīcibas_plans!$B$4:$D$234,3,FALSE)</f>
        <v>Zaļā iela 4, Zaļā iela , Baloži</v>
      </c>
      <c r="U21" s="59" t="str">
        <f>VLOOKUP(A21,Rīcibas_plans!$B$5:$Q$234,14,FALSE)</f>
        <v>Koku retināšana, segumi zem bērnu rotaļu laukumiem.</v>
      </c>
    </row>
    <row r="22" spans="1:21" ht="57.6">
      <c r="A22" s="58" t="s">
        <v>65</v>
      </c>
      <c r="B22">
        <v>55000</v>
      </c>
      <c r="C22">
        <v>5000</v>
      </c>
      <c r="D22">
        <v>900000</v>
      </c>
      <c r="E22">
        <v>450000</v>
      </c>
      <c r="F22">
        <v>3</v>
      </c>
      <c r="J22" s="61">
        <f t="shared" si="3"/>
        <v>9.0909090909090912E-2</v>
      </c>
      <c r="K22" s="60">
        <f t="shared" si="4"/>
        <v>16.363636363636363</v>
      </c>
      <c r="L22" s="60">
        <f t="shared" si="5"/>
        <v>8.1818181818181817</v>
      </c>
      <c r="M22">
        <f t="shared" si="6"/>
        <v>26</v>
      </c>
      <c r="N22">
        <f t="shared" si="7"/>
        <v>18</v>
      </c>
      <c r="O22">
        <f t="shared" si="8"/>
        <v>13</v>
      </c>
      <c r="P22">
        <f t="shared" si="9"/>
        <v>50</v>
      </c>
      <c r="Q22">
        <f t="shared" si="10"/>
        <v>37</v>
      </c>
      <c r="R22">
        <f t="shared" si="11"/>
        <v>25</v>
      </c>
      <c r="S22" s="61">
        <f t="shared" si="12"/>
        <v>28.166666666666668</v>
      </c>
      <c r="T22" s="59" t="str">
        <f>VLOOKUP(A22,Rīcibas_plans!$B$4:$D$234,3,FALSE)</f>
        <v xml:space="preserve">Titurgas ielas gājēju ietve </v>
      </c>
      <c r="U22" s="59" t="str">
        <f>VLOOKUP(A22,Rīcibas_plans!$B$5:$Q$234,14,FALSE)</f>
        <v>Gājēju un velo infrastruktūras segums līdz Titurgas ezeram pa Titurgas ielu</v>
      </c>
    </row>
    <row r="23" spans="1:21" ht="57.6">
      <c r="A23" s="58" t="s">
        <v>66</v>
      </c>
      <c r="B23">
        <v>11060</v>
      </c>
      <c r="C23">
        <v>5000</v>
      </c>
      <c r="D23">
        <v>900000</v>
      </c>
      <c r="E23">
        <v>135000</v>
      </c>
      <c r="F23">
        <v>3</v>
      </c>
      <c r="J23" s="61">
        <f t="shared" si="3"/>
        <v>0.45207956600361665</v>
      </c>
      <c r="K23" s="60">
        <f t="shared" si="4"/>
        <v>81.374321880650996</v>
      </c>
      <c r="L23" s="60">
        <f t="shared" si="5"/>
        <v>12.206148282097649</v>
      </c>
      <c r="M23">
        <f t="shared" si="6"/>
        <v>26</v>
      </c>
      <c r="N23">
        <f t="shared" si="7"/>
        <v>18</v>
      </c>
      <c r="O23">
        <f t="shared" si="8"/>
        <v>39</v>
      </c>
      <c r="P23">
        <f t="shared" si="9"/>
        <v>17</v>
      </c>
      <c r="Q23">
        <f t="shared" si="10"/>
        <v>15</v>
      </c>
      <c r="R23">
        <f t="shared" si="11"/>
        <v>18</v>
      </c>
      <c r="S23" s="61">
        <f t="shared" si="12"/>
        <v>22.166666666666668</v>
      </c>
      <c r="T23" s="59" t="str">
        <f>VLOOKUP(A23,Rīcibas_plans!$B$4:$D$234,3,FALSE)</f>
        <v xml:space="preserve">Titurgas ielas gājēju ietve </v>
      </c>
      <c r="U23" s="59" t="str">
        <f>VLOOKUP(A23,Rīcibas_plans!$B$5:$Q$234,14,FALSE)</f>
        <v>Gājēju un velo infrastruktūras segums līdz Titurgas ezeram pa Titurgas ielu</v>
      </c>
    </row>
    <row r="24" spans="1:21">
      <c r="A24" s="58" t="s">
        <v>67</v>
      </c>
      <c r="B24">
        <v>72000</v>
      </c>
      <c r="C24">
        <v>4000</v>
      </c>
      <c r="D24">
        <v>48000</v>
      </c>
      <c r="E24">
        <v>48000</v>
      </c>
      <c r="F24">
        <v>3</v>
      </c>
      <c r="J24" s="61">
        <f t="shared" si="3"/>
        <v>5.5555555555555552E-2</v>
      </c>
      <c r="K24" s="60">
        <f t="shared" si="4"/>
        <v>0.66666666666666663</v>
      </c>
      <c r="L24" s="60">
        <f t="shared" si="5"/>
        <v>0.66666666666666663</v>
      </c>
      <c r="M24">
        <f t="shared" si="6"/>
        <v>32</v>
      </c>
      <c r="N24">
        <f t="shared" si="7"/>
        <v>151</v>
      </c>
      <c r="O24">
        <f t="shared" si="8"/>
        <v>86</v>
      </c>
      <c r="P24">
        <f t="shared" si="9"/>
        <v>70</v>
      </c>
      <c r="Q24">
        <f t="shared" si="10"/>
        <v>133</v>
      </c>
      <c r="R24">
        <f t="shared" si="11"/>
        <v>105</v>
      </c>
      <c r="S24" s="61">
        <f t="shared" si="12"/>
        <v>96.166666666666671</v>
      </c>
      <c r="T24" s="59" t="str">
        <f>VLOOKUP(A24,Rīcibas_plans!$B$4:$D$234,3,FALSE)</f>
        <v>Titurgas ezera taka</v>
      </c>
      <c r="U24" s="59" t="str">
        <f>VLOOKUP(A24,Rīcibas_plans!$B$5:$Q$234,14,FALSE)</f>
        <v xml:space="preserve">Dabas taka ap ezeru. </v>
      </c>
    </row>
    <row r="25" spans="1:21" ht="57.6">
      <c r="A25" s="58" t="s">
        <v>68</v>
      </c>
      <c r="B25">
        <v>15000</v>
      </c>
      <c r="C25">
        <v>300</v>
      </c>
      <c r="D25">
        <v>7200</v>
      </c>
      <c r="E25">
        <v>3600</v>
      </c>
      <c r="F25">
        <v>3</v>
      </c>
      <c r="J25" s="61">
        <f t="shared" si="3"/>
        <v>0.02</v>
      </c>
      <c r="K25" s="60">
        <f t="shared" si="4"/>
        <v>0.48</v>
      </c>
      <c r="L25" s="60">
        <f t="shared" si="5"/>
        <v>0.24</v>
      </c>
      <c r="M25">
        <f t="shared" si="6"/>
        <v>178</v>
      </c>
      <c r="N25">
        <f t="shared" si="7"/>
        <v>194</v>
      </c>
      <c r="O25">
        <f t="shared" si="8"/>
        <v>194</v>
      </c>
      <c r="P25">
        <f t="shared" si="9"/>
        <v>105</v>
      </c>
      <c r="Q25">
        <f t="shared" si="10"/>
        <v>140</v>
      </c>
      <c r="R25">
        <f t="shared" si="11"/>
        <v>132</v>
      </c>
      <c r="S25" s="61">
        <f t="shared" si="12"/>
        <v>157.16666666666666</v>
      </c>
      <c r="T25" s="59" t="str">
        <f>VLOOKUP(A25,Rīcibas_plans!$B$4:$D$234,3,FALSE)</f>
        <v>Atpūtas vieta pie ūdens pie Titurgas ezera  Ezera ielā</v>
      </c>
      <c r="U25" s="59" t="str">
        <f>VLOOKUP(A25,Rīcibas_plans!$B$5:$Q$234,14,FALSE)</f>
        <v>Laivu nolaišanas vietas izbūve un SUP vietas izbūve Titurgas ezera atpūtas vietā pie ūdens</v>
      </c>
    </row>
    <row r="26" spans="1:21" ht="28.9">
      <c r="A26" s="58" t="s">
        <v>69</v>
      </c>
      <c r="B26">
        <v>60000</v>
      </c>
      <c r="C26">
        <v>6000</v>
      </c>
      <c r="D26">
        <v>1800000</v>
      </c>
      <c r="E26">
        <v>540000</v>
      </c>
      <c r="F26">
        <v>2</v>
      </c>
      <c r="J26" s="61">
        <f t="shared" si="3"/>
        <v>0.1</v>
      </c>
      <c r="K26" s="60">
        <f t="shared" si="4"/>
        <v>30</v>
      </c>
      <c r="L26" s="60">
        <f t="shared" si="5"/>
        <v>9</v>
      </c>
      <c r="M26">
        <f t="shared" si="6"/>
        <v>5</v>
      </c>
      <c r="N26">
        <f t="shared" si="7"/>
        <v>7</v>
      </c>
      <c r="O26">
        <f t="shared" si="8"/>
        <v>8</v>
      </c>
      <c r="P26">
        <f t="shared" si="9"/>
        <v>47</v>
      </c>
      <c r="Q26">
        <f t="shared" si="10"/>
        <v>28</v>
      </c>
      <c r="R26">
        <f t="shared" si="11"/>
        <v>22</v>
      </c>
      <c r="S26" s="61">
        <f t="shared" si="12"/>
        <v>19.5</v>
      </c>
      <c r="T26" s="59" t="str">
        <f>VLOOKUP(A26,Rīcibas_plans!$B$4:$D$234,3,FALSE)</f>
        <v>Baložu pilsētas mobilitātes punkta izveide (Purva iela 2/4)</v>
      </c>
      <c r="U26" s="59" t="str">
        <f>VLOOKUP(A26,Rīcibas_plans!$B$5:$Q$234,14,FALSE)</f>
        <v>Pilsētas mobilitātes punkta izveide</v>
      </c>
    </row>
    <row r="27" spans="1:21" ht="57.6">
      <c r="A27" s="58" t="s">
        <v>70</v>
      </c>
      <c r="B27">
        <v>2450000</v>
      </c>
      <c r="C27">
        <v>6000</v>
      </c>
      <c r="D27">
        <v>1800000</v>
      </c>
      <c r="E27">
        <v>540000</v>
      </c>
      <c r="F27">
        <v>7</v>
      </c>
      <c r="J27" s="61">
        <f t="shared" si="3"/>
        <v>2.4489795918367346E-3</v>
      </c>
      <c r="K27" s="60">
        <f t="shared" si="4"/>
        <v>0.73469387755102045</v>
      </c>
      <c r="L27" s="60">
        <f t="shared" si="5"/>
        <v>0.22040816326530613</v>
      </c>
      <c r="M27">
        <f t="shared" si="6"/>
        <v>5</v>
      </c>
      <c r="N27">
        <f t="shared" si="7"/>
        <v>7</v>
      </c>
      <c r="O27">
        <f t="shared" si="8"/>
        <v>8</v>
      </c>
      <c r="P27">
        <f t="shared" si="9"/>
        <v>166</v>
      </c>
      <c r="Q27">
        <f t="shared" si="10"/>
        <v>128</v>
      </c>
      <c r="R27">
        <f t="shared" si="11"/>
        <v>137</v>
      </c>
      <c r="S27" s="61">
        <f t="shared" si="12"/>
        <v>75.166666666666671</v>
      </c>
      <c r="T27" s="59" t="str">
        <f>VLOOKUP(A27,Rīcibas_plans!$B$4:$D$234,3,FALSE)</f>
        <v>Mūkalna parks</v>
      </c>
      <c r="U27" s="59" t="str">
        <f>VLOOKUP(A27,Rīcibas_plans!$B$5:$Q$234,14,FALSE)</f>
        <v>Parka labiekārtošana. Ceļu, lietišķās atpūtas vietu ierīkošana, dīķa tīrīšana, laipas izveide</v>
      </c>
    </row>
    <row r="28" spans="1:21" ht="72">
      <c r="A28" s="58" t="s">
        <v>71</v>
      </c>
      <c r="B28">
        <v>1500</v>
      </c>
      <c r="C28">
        <v>6000</v>
      </c>
      <c r="D28">
        <v>1080000</v>
      </c>
      <c r="E28">
        <v>540000</v>
      </c>
      <c r="F28">
        <v>2</v>
      </c>
      <c r="J28" s="61">
        <f t="shared" si="3"/>
        <v>4</v>
      </c>
      <c r="K28" s="60">
        <f t="shared" si="4"/>
        <v>720</v>
      </c>
      <c r="L28" s="60">
        <f t="shared" si="5"/>
        <v>360</v>
      </c>
      <c r="M28">
        <f t="shared" si="6"/>
        <v>5</v>
      </c>
      <c r="N28">
        <f t="shared" si="7"/>
        <v>15</v>
      </c>
      <c r="O28">
        <f t="shared" si="8"/>
        <v>8</v>
      </c>
      <c r="P28">
        <f t="shared" si="9"/>
        <v>8</v>
      </c>
      <c r="Q28">
        <f t="shared" si="10"/>
        <v>7</v>
      </c>
      <c r="R28">
        <f t="shared" si="11"/>
        <v>5</v>
      </c>
      <c r="S28" s="61">
        <f t="shared" si="12"/>
        <v>8</v>
      </c>
      <c r="T28" s="59" t="str">
        <f>VLOOKUP(A28,Rīcibas_plans!$B$4:$D$234,3,FALSE)</f>
        <v>Baložu kultūras nama laukums "Varde", Skolas iela 4, Baloži</v>
      </c>
      <c r="U28" s="59" t="str">
        <f>VLOOKUP(A28,Rīcibas_plans!$B$5:$Q$234,14,FALSE)</f>
        <v>Izvērtēt esošo koku dzīvotspēju un veikt sanitāru tīrīšanu. Atjaunot bērnu rotaļu laukumu segumus.</v>
      </c>
    </row>
    <row r="29" spans="1:21" ht="72">
      <c r="A29" s="58" t="s">
        <v>72</v>
      </c>
      <c r="B29">
        <v>300000</v>
      </c>
      <c r="C29">
        <v>2500</v>
      </c>
      <c r="D29">
        <v>450000</v>
      </c>
      <c r="E29">
        <v>450000</v>
      </c>
      <c r="F29">
        <v>2</v>
      </c>
      <c r="J29" s="61">
        <f t="shared" si="3"/>
        <v>8.3333333333333332E-3</v>
      </c>
      <c r="K29" s="60">
        <f t="shared" si="4"/>
        <v>1.5</v>
      </c>
      <c r="L29" s="60">
        <f t="shared" si="5"/>
        <v>1.5</v>
      </c>
      <c r="M29">
        <f t="shared" si="6"/>
        <v>55</v>
      </c>
      <c r="N29">
        <f t="shared" si="7"/>
        <v>41</v>
      </c>
      <c r="O29">
        <f t="shared" si="8"/>
        <v>13</v>
      </c>
      <c r="P29">
        <f t="shared" si="9"/>
        <v>128</v>
      </c>
      <c r="Q29">
        <f t="shared" si="10"/>
        <v>109</v>
      </c>
      <c r="R29">
        <f t="shared" si="11"/>
        <v>75</v>
      </c>
      <c r="S29" s="61">
        <f t="shared" si="12"/>
        <v>70.166666666666671</v>
      </c>
      <c r="T29" s="59" t="str">
        <f>VLOOKUP(A29,Rīcibas_plans!$B$4:$D$234,3,FALSE)</f>
        <v>Baložu kultūras nama laukums "Varde", Skolas iela 4, Baloži</v>
      </c>
      <c r="U29" s="59" t="str">
        <f>VLOOKUP(A29,Rīcibas_plans!$B$5:$Q$234,14,FALSE)</f>
        <v>Izvērtēt esošo koku dzīvotspēju un veikt sanitāru tīrīšanu. Atjaunot bērnu rotaļu laukumu segumus.</v>
      </c>
    </row>
    <row r="30" spans="1:21" ht="28.9">
      <c r="A30" s="58" t="s">
        <v>73</v>
      </c>
      <c r="C30">
        <v>4000</v>
      </c>
      <c r="D30">
        <v>960000</v>
      </c>
      <c r="E30">
        <v>480000</v>
      </c>
      <c r="F30">
        <v>2</v>
      </c>
      <c r="J30" s="61" t="str">
        <f t="shared" si="3"/>
        <v/>
      </c>
      <c r="K30" s="60" t="str">
        <f t="shared" si="4"/>
        <v/>
      </c>
      <c r="L30" s="60" t="str">
        <f t="shared" si="5"/>
        <v/>
      </c>
      <c r="M30">
        <f t="shared" si="6"/>
        <v>32</v>
      </c>
      <c r="N30">
        <f t="shared" si="7"/>
        <v>17</v>
      </c>
      <c r="O30">
        <f t="shared" si="8"/>
        <v>12</v>
      </c>
      <c r="P30" t="e">
        <f t="shared" si="9"/>
        <v>#VALUE!</v>
      </c>
      <c r="Q30" t="e">
        <f t="shared" si="10"/>
        <v>#VALUE!</v>
      </c>
      <c r="R30" t="e">
        <f t="shared" si="11"/>
        <v>#VALUE!</v>
      </c>
      <c r="S30" s="61" t="e">
        <f t="shared" si="12"/>
        <v>#VALUE!</v>
      </c>
      <c r="T30" s="59" t="str">
        <f>VLOOKUP(A30,Rīcibas_plans!$B$4:$D$234,3,FALSE)</f>
        <v>Baložu viduskolas apkārtne, Skolas iela 6, Baloži</v>
      </c>
      <c r="U30" s="59" t="str">
        <f>VLOOKUP(A30,Rīcibas_plans!$B$5:$Q$234,14,FALSE)</f>
        <v>Stadiona pārbūve</v>
      </c>
    </row>
    <row r="31" spans="1:21" ht="100.9">
      <c r="A31" s="58" t="s">
        <v>74</v>
      </c>
      <c r="C31">
        <v>3000</v>
      </c>
      <c r="D31">
        <v>360000</v>
      </c>
      <c r="E31">
        <v>360000</v>
      </c>
      <c r="F31">
        <v>2</v>
      </c>
      <c r="J31" s="61" t="str">
        <f t="shared" si="3"/>
        <v/>
      </c>
      <c r="K31" s="60" t="str">
        <f t="shared" si="4"/>
        <v/>
      </c>
      <c r="L31" s="60" t="str">
        <f t="shared" si="5"/>
        <v/>
      </c>
      <c r="M31">
        <f t="shared" si="6"/>
        <v>40</v>
      </c>
      <c r="N31">
        <f t="shared" si="7"/>
        <v>43</v>
      </c>
      <c r="O31">
        <f t="shared" si="8"/>
        <v>18</v>
      </c>
      <c r="P31" t="e">
        <f t="shared" si="9"/>
        <v>#VALUE!</v>
      </c>
      <c r="Q31" t="e">
        <f t="shared" si="10"/>
        <v>#VALUE!</v>
      </c>
      <c r="R31" t="e">
        <f t="shared" si="11"/>
        <v>#VALUE!</v>
      </c>
      <c r="S31" s="61" t="e">
        <f t="shared" si="12"/>
        <v>#VALUE!</v>
      </c>
      <c r="T31" s="59" t="str">
        <f>VLOOKUP(A31,Rīcibas_plans!$B$4:$D$234,3,FALSE)</f>
        <v>Daudzdzīvokļu māju iekšpagalms/skvērs, Medema iela 11</v>
      </c>
      <c r="U31" s="59" t="str">
        <f>VLOOKUP(A31,Rīcibas_plans!$B$5:$Q$234,14,FALSE)</f>
        <v>Apstādījumu papildināšana (koku un krūmu stādījumi), rotaļu iekārtu papildināšana, lietišķās atpūtas vietas/laukums (L tipa). Savienojums ar citām rekreācijas teritorijām.</v>
      </c>
    </row>
    <row r="32" spans="1:21" ht="43.15">
      <c r="A32" s="58" t="s">
        <v>75</v>
      </c>
      <c r="B32">
        <v>7160</v>
      </c>
      <c r="C32">
        <v>6000</v>
      </c>
      <c r="D32">
        <v>2160000</v>
      </c>
      <c r="E32">
        <v>540000</v>
      </c>
      <c r="F32">
        <v>1</v>
      </c>
      <c r="J32" s="61">
        <f t="shared" si="3"/>
        <v>0.83798882681564246</v>
      </c>
      <c r="K32" s="60">
        <f t="shared" si="4"/>
        <v>301.67597765363126</v>
      </c>
      <c r="L32" s="60">
        <f t="shared" si="5"/>
        <v>75.418994413407816</v>
      </c>
      <c r="M32">
        <f t="shared" si="6"/>
        <v>5</v>
      </c>
      <c r="N32">
        <f t="shared" si="7"/>
        <v>2</v>
      </c>
      <c r="O32">
        <f t="shared" si="8"/>
        <v>8</v>
      </c>
      <c r="P32">
        <f t="shared" si="9"/>
        <v>13</v>
      </c>
      <c r="Q32">
        <f t="shared" si="10"/>
        <v>9</v>
      </c>
      <c r="R32">
        <f t="shared" si="11"/>
        <v>8</v>
      </c>
      <c r="S32" s="61">
        <f t="shared" si="12"/>
        <v>7.5</v>
      </c>
      <c r="T32" s="59" t="str">
        <f>VLOOKUP(A32,Rīcibas_plans!$B$4:$D$234,3,FALSE)</f>
        <v>Tirdzniecības centra priekšlaukums. Rīgas iela 14, Baloži,</v>
      </c>
      <c r="U32" s="59" t="str">
        <f>VLOOKUP(A32,Rīcibas_plans!$B$5:$Q$234,14,FALSE)</f>
        <v xml:space="preserve">Lietišķās atpūtas labiekārtojuma elementu atjaunošana. </v>
      </c>
    </row>
    <row r="33" spans="1:21" ht="72">
      <c r="A33" s="58" t="s">
        <v>76</v>
      </c>
      <c r="B33">
        <v>390000</v>
      </c>
      <c r="C33">
        <v>8000</v>
      </c>
      <c r="D33">
        <v>480000</v>
      </c>
      <c r="E33">
        <v>720000</v>
      </c>
      <c r="F33">
        <v>2</v>
      </c>
      <c r="J33" s="61">
        <f t="shared" si="3"/>
        <v>2.0512820512820513E-2</v>
      </c>
      <c r="K33" s="60">
        <f t="shared" si="4"/>
        <v>1.2307692307692308</v>
      </c>
      <c r="L33" s="60">
        <f t="shared" si="5"/>
        <v>1.8461538461538463</v>
      </c>
      <c r="M33">
        <f t="shared" si="6"/>
        <v>2</v>
      </c>
      <c r="N33">
        <f t="shared" si="7"/>
        <v>35</v>
      </c>
      <c r="O33">
        <f t="shared" si="8"/>
        <v>2</v>
      </c>
      <c r="P33">
        <f t="shared" si="9"/>
        <v>104</v>
      </c>
      <c r="Q33">
        <f t="shared" si="10"/>
        <v>114</v>
      </c>
      <c r="R33">
        <f t="shared" si="11"/>
        <v>67</v>
      </c>
      <c r="S33" s="61">
        <f t="shared" si="12"/>
        <v>54</v>
      </c>
      <c r="T33" s="59" t="str">
        <f>VLOOKUP(A33,Rīcibas_plans!$B$4:$D$234,3,FALSE)</f>
        <v xml:space="preserve">Mežaparka zona, Titurgas ezera atpūtas vieta pie ūdens Baloži, Ezera iela 7 </v>
      </c>
      <c r="U33" s="59" t="str">
        <f>VLOOKUP(A33,Rīcibas_plans!$B$5:$Q$234,14,FALSE)</f>
        <v>Gājēju ceļu tīkls, savienojums starp pludmalēm. Savstarpēji saskaņots labiekārtojuma elementu dizains</v>
      </c>
    </row>
    <row r="34" spans="1:21" ht="72">
      <c r="A34" s="58" t="s">
        <v>77</v>
      </c>
      <c r="B34">
        <v>42000</v>
      </c>
      <c r="C34">
        <v>500</v>
      </c>
      <c r="D34">
        <v>6000</v>
      </c>
      <c r="E34">
        <v>9000</v>
      </c>
      <c r="F34">
        <v>3</v>
      </c>
      <c r="J34" s="61">
        <f t="shared" si="3"/>
        <v>1.1904761904761904E-2</v>
      </c>
      <c r="K34" s="60">
        <f t="shared" si="4"/>
        <v>0.14285714285714285</v>
      </c>
      <c r="L34" s="60">
        <f t="shared" si="5"/>
        <v>0.21428571428571427</v>
      </c>
      <c r="M34">
        <f t="shared" si="6"/>
        <v>149</v>
      </c>
      <c r="N34">
        <f t="shared" si="7"/>
        <v>196</v>
      </c>
      <c r="O34">
        <f t="shared" si="8"/>
        <v>163</v>
      </c>
      <c r="P34">
        <f t="shared" si="9"/>
        <v>117</v>
      </c>
      <c r="Q34">
        <f t="shared" si="10"/>
        <v>169</v>
      </c>
      <c r="R34">
        <f t="shared" si="11"/>
        <v>138</v>
      </c>
      <c r="S34" s="61">
        <f t="shared" si="12"/>
        <v>155.33333333333334</v>
      </c>
      <c r="T34" s="59" t="str">
        <f>VLOOKUP(A34,Rīcibas_plans!$B$4:$D$234,3,FALSE)</f>
        <v>Mežaparka, kāpas zona starp Purva un Kalnu ielām</v>
      </c>
      <c r="U34" s="59" t="str">
        <f>VLOOKUP(A34,Rīcibas_plans!$B$5:$Q$234,14,FALSE)</f>
        <v>Ceļu tīkls, atpūtas vietas, bērnu ziemas aktivitāšu vieta (šļūkšanas kalniņš). Uzlabot šļūkšanas trases kvalitāti.</v>
      </c>
    </row>
    <row r="35" spans="1:21" ht="57.6">
      <c r="A35" s="58" t="s">
        <v>78</v>
      </c>
      <c r="B35">
        <v>2013000</v>
      </c>
      <c r="C35">
        <v>1500</v>
      </c>
      <c r="D35">
        <v>540000</v>
      </c>
      <c r="E35">
        <v>270000</v>
      </c>
      <c r="F35">
        <v>1</v>
      </c>
      <c r="J35" s="61">
        <f t="shared" si="3"/>
        <v>7.4515648286140089E-4</v>
      </c>
      <c r="K35" s="60">
        <f t="shared" si="4"/>
        <v>0.26825633383010433</v>
      </c>
      <c r="L35" s="60">
        <f t="shared" si="5"/>
        <v>0.13412816691505217</v>
      </c>
      <c r="M35">
        <f t="shared" si="6"/>
        <v>76</v>
      </c>
      <c r="N35">
        <f t="shared" si="7"/>
        <v>33</v>
      </c>
      <c r="O35">
        <f t="shared" si="8"/>
        <v>27</v>
      </c>
      <c r="P35">
        <f t="shared" si="9"/>
        <v>184</v>
      </c>
      <c r="Q35">
        <f t="shared" si="10"/>
        <v>156</v>
      </c>
      <c r="R35">
        <f t="shared" si="11"/>
        <v>150</v>
      </c>
      <c r="S35" s="61">
        <f t="shared" si="12"/>
        <v>104.33333333333333</v>
      </c>
      <c r="T35" s="59" t="str">
        <f>VLOOKUP(A35,Rīcibas_plans!$B$4:$D$234,3,FALSE)</f>
        <v>Saulgriežu ielas gājēju un velosipēdistu infrastruktūra</v>
      </c>
      <c r="U35" s="59" t="str">
        <f>VLOOKUP(A35,Rīcibas_plans!$B$5:$Q$234,14,FALSE)</f>
        <v>Apgaismotas ietves izbūve Saulgriežu ielas visā garumā. Lietišķās atpūtas vietu izvietošana (S tips)</v>
      </c>
    </row>
    <row r="36" spans="1:21" ht="57.6">
      <c r="A36" s="58" t="s">
        <v>79</v>
      </c>
      <c r="B36">
        <v>16590</v>
      </c>
      <c r="C36">
        <v>1500</v>
      </c>
      <c r="D36">
        <v>360000</v>
      </c>
      <c r="E36">
        <v>54000</v>
      </c>
      <c r="F36">
        <v>1</v>
      </c>
      <c r="J36" s="61">
        <f t="shared" si="3"/>
        <v>9.0415913200723327E-2</v>
      </c>
      <c r="K36" s="60">
        <f t="shared" si="4"/>
        <v>21.699819168173597</v>
      </c>
      <c r="L36" s="60">
        <f t="shared" si="5"/>
        <v>3.2549728752260396</v>
      </c>
      <c r="M36">
        <f t="shared" si="6"/>
        <v>76</v>
      </c>
      <c r="N36">
        <f t="shared" si="7"/>
        <v>43</v>
      </c>
      <c r="O36">
        <f t="shared" si="8"/>
        <v>76</v>
      </c>
      <c r="P36">
        <f t="shared" si="9"/>
        <v>52</v>
      </c>
      <c r="Q36">
        <f t="shared" si="10"/>
        <v>33</v>
      </c>
      <c r="R36">
        <f t="shared" si="11"/>
        <v>49</v>
      </c>
      <c r="S36" s="61">
        <f t="shared" si="12"/>
        <v>54.833333333333336</v>
      </c>
      <c r="T36" s="59" t="str">
        <f>VLOOKUP(A36,Rīcibas_plans!$B$4:$D$234,3,FALSE)</f>
        <v>Saulgriežu ielas gājēju un velosipēdistu infrastruktūra</v>
      </c>
      <c r="U36" s="59" t="str">
        <f>VLOOKUP(A36,Rīcibas_plans!$B$5:$Q$234,14,FALSE)</f>
        <v>Apgaismotas ietves izbūve Saulgriežu ielas visā garumā. Lietišķās atpūtas vietu izvietošana (S tips)</v>
      </c>
    </row>
    <row r="37" spans="1:21" ht="43.15">
      <c r="A37" s="58" t="s">
        <v>80</v>
      </c>
      <c r="B37">
        <v>25000</v>
      </c>
      <c r="C37">
        <v>1000</v>
      </c>
      <c r="D37">
        <v>180000</v>
      </c>
      <c r="E37">
        <v>1800</v>
      </c>
      <c r="F37">
        <v>1</v>
      </c>
      <c r="J37" s="61">
        <f t="shared" si="3"/>
        <v>0.04</v>
      </c>
      <c r="K37" s="60">
        <f t="shared" si="4"/>
        <v>7.2</v>
      </c>
      <c r="L37" s="60">
        <f t="shared" si="5"/>
        <v>7.1999999999999995E-2</v>
      </c>
      <c r="M37">
        <f t="shared" si="6"/>
        <v>93</v>
      </c>
      <c r="N37">
        <f t="shared" si="7"/>
        <v>77</v>
      </c>
      <c r="O37">
        <f t="shared" si="8"/>
        <v>204</v>
      </c>
      <c r="P37">
        <f t="shared" si="9"/>
        <v>85</v>
      </c>
      <c r="Q37">
        <f t="shared" si="10"/>
        <v>70</v>
      </c>
      <c r="R37">
        <f t="shared" si="11"/>
        <v>169</v>
      </c>
      <c r="S37" s="61">
        <f t="shared" si="12"/>
        <v>116.33333333333333</v>
      </c>
      <c r="T37" s="59" t="str">
        <f>VLOOKUP(A37,Rīcibas_plans!$B$4:$D$234,3,FALSE)</f>
        <v>Baldones vidusskolas priekšlaukums pret Iecavas ielu,
Iecavas iela 2, Baldone</v>
      </c>
      <c r="U37" s="59" t="str">
        <f>VLOOKUP(A37,Rīcibas_plans!$B$5:$Q$234,14,FALSE)</f>
        <v>Teritorijas zaļās zonas papildināšana ar apstādījumiem.</v>
      </c>
    </row>
    <row r="38" spans="1:21" ht="28.9">
      <c r="A38" s="58" t="s">
        <v>81</v>
      </c>
      <c r="B38">
        <v>37800</v>
      </c>
      <c r="C38">
        <v>500</v>
      </c>
      <c r="D38">
        <v>120000</v>
      </c>
      <c r="E38">
        <v>18000</v>
      </c>
      <c r="F38">
        <v>3</v>
      </c>
      <c r="J38" s="61">
        <f t="shared" si="3"/>
        <v>1.3227513227513227E-2</v>
      </c>
      <c r="K38" s="60">
        <f t="shared" si="4"/>
        <v>3.1746031746031744</v>
      </c>
      <c r="L38" s="60">
        <f t="shared" si="5"/>
        <v>0.47619047619047616</v>
      </c>
      <c r="M38">
        <f t="shared" si="6"/>
        <v>149</v>
      </c>
      <c r="N38">
        <f t="shared" si="7"/>
        <v>95</v>
      </c>
      <c r="O38">
        <f t="shared" si="8"/>
        <v>135</v>
      </c>
      <c r="P38">
        <f t="shared" si="9"/>
        <v>113</v>
      </c>
      <c r="Q38">
        <f t="shared" si="10"/>
        <v>91</v>
      </c>
      <c r="R38">
        <f t="shared" si="11"/>
        <v>109</v>
      </c>
      <c r="S38" s="61">
        <f t="shared" si="12"/>
        <v>115.33333333333333</v>
      </c>
      <c r="T38" s="59" t="str">
        <f>VLOOKUP(A38,Rīcibas_plans!$B$4:$D$234,3,FALSE)</f>
        <v>Jakaru iela - Gaismas iela</v>
      </c>
      <c r="U38" s="59" t="str">
        <f>VLOOKUP(A38,Rīcibas_plans!$B$5:$Q$234,14,FALSE)</f>
        <v>Apgaismota gājēju ceļa izbūve līdz skolai</v>
      </c>
    </row>
    <row r="39" spans="1:21" ht="28.9">
      <c r="A39" s="58" t="s">
        <v>82</v>
      </c>
      <c r="B39">
        <v>27300</v>
      </c>
      <c r="C39">
        <v>300</v>
      </c>
      <c r="D39">
        <v>36000</v>
      </c>
      <c r="E39">
        <v>5400</v>
      </c>
      <c r="F39">
        <v>3</v>
      </c>
      <c r="J39" s="61">
        <f t="shared" si="3"/>
        <v>1.098901098901099E-2</v>
      </c>
      <c r="K39" s="60">
        <f t="shared" si="4"/>
        <v>1.3186813186813187</v>
      </c>
      <c r="L39" s="60">
        <f t="shared" si="5"/>
        <v>0.19780219780219779</v>
      </c>
      <c r="M39">
        <f t="shared" si="6"/>
        <v>178</v>
      </c>
      <c r="N39">
        <f t="shared" si="7"/>
        <v>155</v>
      </c>
      <c r="O39">
        <f t="shared" si="8"/>
        <v>187</v>
      </c>
      <c r="P39">
        <f t="shared" si="9"/>
        <v>118</v>
      </c>
      <c r="Q39">
        <f t="shared" si="10"/>
        <v>112</v>
      </c>
      <c r="R39">
        <f t="shared" si="11"/>
        <v>143</v>
      </c>
      <c r="S39" s="61">
        <f t="shared" si="12"/>
        <v>148.83333333333334</v>
      </c>
      <c r="T39" s="59" t="str">
        <f>VLOOKUP(A39,Rīcibas_plans!$B$4:$D$234,3,FALSE)</f>
        <v>Ciņu iela - Dzirnavu iela</v>
      </c>
      <c r="U39" s="59" t="str">
        <f>VLOOKUP(A39,Rīcibas_plans!$B$5:$Q$234,14,FALSE)</f>
        <v>Apgaismota gājēju ceļa izbūve. Tiltiņa atjaunošana</v>
      </c>
    </row>
    <row r="40" spans="1:21" ht="43.15">
      <c r="A40" s="58" t="s">
        <v>83</v>
      </c>
      <c r="B40">
        <v>25000</v>
      </c>
      <c r="C40">
        <v>500</v>
      </c>
      <c r="D40">
        <v>60000</v>
      </c>
      <c r="E40">
        <v>30000</v>
      </c>
      <c r="F40">
        <v>1</v>
      </c>
      <c r="J40" s="61">
        <f t="shared" si="3"/>
        <v>0.02</v>
      </c>
      <c r="K40" s="60">
        <f t="shared" si="4"/>
        <v>2.4</v>
      </c>
      <c r="L40" s="60">
        <f t="shared" si="5"/>
        <v>1.2</v>
      </c>
      <c r="M40">
        <f t="shared" si="6"/>
        <v>149</v>
      </c>
      <c r="N40">
        <f t="shared" si="7"/>
        <v>134</v>
      </c>
      <c r="O40">
        <f t="shared" si="8"/>
        <v>107</v>
      </c>
      <c r="P40">
        <f t="shared" si="9"/>
        <v>105</v>
      </c>
      <c r="Q40">
        <f t="shared" si="10"/>
        <v>98</v>
      </c>
      <c r="R40">
        <f t="shared" si="11"/>
        <v>81</v>
      </c>
      <c r="S40" s="61">
        <f t="shared" si="12"/>
        <v>112.33333333333333</v>
      </c>
      <c r="T40" s="59" t="str">
        <f>VLOOKUP(A40,Rīcibas_plans!$B$4:$D$234,3,FALSE)</f>
        <v>Esošs bērnu rotaļu laukums, 
Pārupes iela 3, Baldone</v>
      </c>
      <c r="U40" s="59" t="str">
        <f>VLOOKUP(A40,Rīcibas_plans!$B$5:$Q$234,14,FALSE)</f>
        <v>Atjaunot un papildināt rotaļu laukumu ar rotaļu elementiem</v>
      </c>
    </row>
    <row r="41" spans="1:21" ht="72">
      <c r="A41" s="58" t="s">
        <v>84</v>
      </c>
      <c r="B41">
        <v>125000</v>
      </c>
      <c r="C41">
        <v>200</v>
      </c>
      <c r="D41">
        <v>4800</v>
      </c>
      <c r="E41">
        <v>240</v>
      </c>
      <c r="F41">
        <v>1</v>
      </c>
      <c r="J41" s="61">
        <f t="shared" si="3"/>
        <v>1.6000000000000001E-3</v>
      </c>
      <c r="K41" s="60">
        <f t="shared" si="4"/>
        <v>3.8399999999999997E-2</v>
      </c>
      <c r="L41" s="60">
        <f t="shared" si="5"/>
        <v>1.92E-3</v>
      </c>
      <c r="M41">
        <f t="shared" si="6"/>
        <v>186</v>
      </c>
      <c r="N41">
        <f t="shared" si="7"/>
        <v>207</v>
      </c>
      <c r="O41">
        <f t="shared" si="8"/>
        <v>220</v>
      </c>
      <c r="P41">
        <f t="shared" si="9"/>
        <v>177</v>
      </c>
      <c r="Q41">
        <f t="shared" si="10"/>
        <v>186</v>
      </c>
      <c r="R41">
        <f t="shared" si="11"/>
        <v>192</v>
      </c>
      <c r="S41" s="61">
        <f t="shared" si="12"/>
        <v>194.66666666666666</v>
      </c>
      <c r="T41" s="59" t="str">
        <f>VLOOKUP(A41,Rīcibas_plans!$B$4:$D$234,3,FALSE)</f>
        <v>Baldones pārvaldes ēkas priekšlaukums, 
Pārupes iela 3, Baldone</v>
      </c>
      <c r="U41" s="59" t="str">
        <f>VLOOKUP(A41,Rīcibas_plans!$B$5:$Q$234,14,FALSE)</f>
        <v>Papildināt ar kokaugu stādījumiem. Navigācijas norādes. Lietišķās atpūtas vietas gar gājēju ceļu struktūru.</v>
      </c>
    </row>
    <row r="42" spans="1:21" ht="86.45">
      <c r="A42" s="58" t="s">
        <v>85</v>
      </c>
      <c r="B42">
        <v>25000</v>
      </c>
      <c r="C42">
        <v>400</v>
      </c>
      <c r="D42">
        <v>48000</v>
      </c>
      <c r="E42">
        <v>24000</v>
      </c>
      <c r="F42">
        <v>7</v>
      </c>
      <c r="J42" s="61">
        <f t="shared" si="3"/>
        <v>1.6E-2</v>
      </c>
      <c r="K42" s="60">
        <f t="shared" si="4"/>
        <v>1.92</v>
      </c>
      <c r="L42" s="60">
        <f t="shared" si="5"/>
        <v>0.96</v>
      </c>
      <c r="M42">
        <f t="shared" si="6"/>
        <v>173</v>
      </c>
      <c r="N42">
        <f t="shared" si="7"/>
        <v>151</v>
      </c>
      <c r="O42">
        <f t="shared" si="8"/>
        <v>127</v>
      </c>
      <c r="P42">
        <f t="shared" si="9"/>
        <v>108</v>
      </c>
      <c r="Q42">
        <f t="shared" si="10"/>
        <v>103</v>
      </c>
      <c r="R42">
        <f t="shared" si="11"/>
        <v>94</v>
      </c>
      <c r="S42" s="61">
        <f t="shared" si="12"/>
        <v>126</v>
      </c>
      <c r="T42" s="59" t="str">
        <f>VLOOKUP(A42,Rīcibas_plans!$B$4:$D$234,3,FALSE)</f>
        <v>Bērnu rotaļu laukums "Zīļuks" pie Atvaru ielas</v>
      </c>
      <c r="U42" s="59" t="str">
        <f>VLOOKUP(A42,Rīcibas_plans!$B$5:$Q$234,14,FALSE)</f>
        <v>Lietišķās atpūtas vietas (soliņi ar atzveltnēm, atkritumu urnas). Funkcionāla gājēju ceļu struktūra un seguma uzlabošana</v>
      </c>
    </row>
    <row r="43" spans="1:21" ht="57.6">
      <c r="A43" s="58" t="s">
        <v>86</v>
      </c>
      <c r="B43">
        <v>11060</v>
      </c>
      <c r="C43">
        <v>600</v>
      </c>
      <c r="D43">
        <v>108000</v>
      </c>
      <c r="E43">
        <v>27000</v>
      </c>
      <c r="F43">
        <v>1</v>
      </c>
      <c r="J43" s="61">
        <f t="shared" si="3"/>
        <v>5.4249547920433995E-2</v>
      </c>
      <c r="K43" s="60">
        <f t="shared" si="4"/>
        <v>9.7649186256781189</v>
      </c>
      <c r="L43" s="60">
        <f t="shared" si="5"/>
        <v>2.4412296564195297</v>
      </c>
      <c r="M43">
        <f t="shared" si="6"/>
        <v>140</v>
      </c>
      <c r="N43">
        <f t="shared" si="7"/>
        <v>112</v>
      </c>
      <c r="O43">
        <f t="shared" si="8"/>
        <v>124</v>
      </c>
      <c r="P43">
        <f t="shared" si="9"/>
        <v>71</v>
      </c>
      <c r="Q43">
        <f t="shared" si="10"/>
        <v>54</v>
      </c>
      <c r="R43">
        <f t="shared" si="11"/>
        <v>55</v>
      </c>
      <c r="S43" s="61">
        <f t="shared" si="12"/>
        <v>92.666666666666671</v>
      </c>
      <c r="T43" s="59" t="str">
        <f>VLOOKUP(A43,Rīcibas_plans!$B$4:$D$234,3,FALSE)</f>
        <v>Rīgas iela no Daugavas ielas līdz Mežvidu ielai</v>
      </c>
      <c r="U43" s="59" t="str">
        <f>VLOOKUP(A43,Rīcibas_plans!$B$5:$Q$234,14,FALSE)</f>
        <v>Lietišķās atpūtas vietas izbūve. Apvienotā gājēju un veloc ceļa uzlabošana (zīmes, marķējums)</v>
      </c>
    </row>
    <row r="44" spans="1:21" ht="129.6">
      <c r="A44" s="58" t="s">
        <v>87</v>
      </c>
      <c r="B44">
        <v>500000</v>
      </c>
      <c r="C44">
        <v>1000</v>
      </c>
      <c r="D44">
        <v>240000</v>
      </c>
      <c r="E44">
        <v>120000</v>
      </c>
      <c r="F44">
        <v>7</v>
      </c>
      <c r="J44" s="61">
        <f t="shared" si="3"/>
        <v>2E-3</v>
      </c>
      <c r="K44" s="60">
        <f t="shared" si="4"/>
        <v>0.48</v>
      </c>
      <c r="L44" s="60">
        <f t="shared" si="5"/>
        <v>0.24</v>
      </c>
      <c r="M44">
        <f t="shared" si="6"/>
        <v>93</v>
      </c>
      <c r="N44">
        <f t="shared" si="7"/>
        <v>66</v>
      </c>
      <c r="O44">
        <f t="shared" si="8"/>
        <v>42</v>
      </c>
      <c r="P44">
        <f t="shared" si="9"/>
        <v>169</v>
      </c>
      <c r="Q44">
        <f t="shared" si="10"/>
        <v>140</v>
      </c>
      <c r="R44">
        <f t="shared" si="11"/>
        <v>132</v>
      </c>
      <c r="S44" s="61">
        <f t="shared" si="12"/>
        <v>107</v>
      </c>
      <c r="T44" s="59" t="str">
        <f>VLOOKUP(A44,Rīcibas_plans!$B$4:$D$234,3,FALSE)</f>
        <v>Baltās pils parks un teritorija, Daugavas iela 23, Baldone</v>
      </c>
      <c r="U44" s="59" t="str">
        <f>VLOOKUP(A44,Rīcibas_plans!$B$5:$Q$234,14,FALSE)</f>
        <v>Saskaņotu labiekārtojuma elementu izvietošana. Segumu atjaunošana. Ceļu struktūras izbūve uz gājēju tiltiņu. Kokaugu stādījumu papildināšana blakus parka teritorijā. Aktīvās atpūtas infrastruktūras elementu un segumu atjaunošana.</v>
      </c>
    </row>
    <row r="45" spans="1:21" ht="28.9">
      <c r="A45" s="58" t="s">
        <v>88</v>
      </c>
      <c r="B45">
        <v>5530</v>
      </c>
      <c r="C45">
        <v>200</v>
      </c>
      <c r="D45">
        <v>24000</v>
      </c>
      <c r="E45">
        <v>2400</v>
      </c>
      <c r="F45">
        <v>1</v>
      </c>
      <c r="J45" s="61">
        <f t="shared" si="3"/>
        <v>3.6166365280289332E-2</v>
      </c>
      <c r="K45" s="60">
        <f t="shared" si="4"/>
        <v>4.3399638336347195</v>
      </c>
      <c r="L45" s="60">
        <f t="shared" si="5"/>
        <v>0.43399638336347196</v>
      </c>
      <c r="M45">
        <f t="shared" si="6"/>
        <v>186</v>
      </c>
      <c r="N45">
        <f t="shared" si="7"/>
        <v>165</v>
      </c>
      <c r="O45">
        <f t="shared" si="8"/>
        <v>200</v>
      </c>
      <c r="P45">
        <f t="shared" si="9"/>
        <v>91</v>
      </c>
      <c r="Q45">
        <f t="shared" si="10"/>
        <v>79</v>
      </c>
      <c r="R45">
        <f t="shared" si="11"/>
        <v>114</v>
      </c>
      <c r="S45" s="61">
        <f t="shared" si="12"/>
        <v>139.16666666666666</v>
      </c>
      <c r="T45" s="59" t="str">
        <f>VLOOKUP(A45,Rīcibas_plans!$B$4:$D$234,3,FALSE)</f>
        <v>Zīļu iela</v>
      </c>
      <c r="U45" s="59" t="str">
        <f>VLOOKUP(A45,Rīcibas_plans!$B$5:$Q$234,14,FALSE)</f>
        <v>Lietišķās atpūtas vietas izbūve</v>
      </c>
    </row>
    <row r="46" spans="1:21" ht="43.15">
      <c r="A46" s="58" t="s">
        <v>89</v>
      </c>
      <c r="B46">
        <v>750000</v>
      </c>
      <c r="C46">
        <v>500</v>
      </c>
      <c r="D46">
        <v>6000</v>
      </c>
      <c r="E46">
        <v>2400</v>
      </c>
      <c r="F46">
        <v>7</v>
      </c>
      <c r="J46" s="61">
        <f t="shared" si="3"/>
        <v>6.6666666666666664E-4</v>
      </c>
      <c r="K46" s="60">
        <f t="shared" si="4"/>
        <v>8.0000000000000002E-3</v>
      </c>
      <c r="L46" s="60">
        <f t="shared" si="5"/>
        <v>3.2000000000000002E-3</v>
      </c>
      <c r="M46">
        <f t="shared" si="6"/>
        <v>149</v>
      </c>
      <c r="N46">
        <f t="shared" si="7"/>
        <v>196</v>
      </c>
      <c r="O46">
        <f t="shared" si="8"/>
        <v>200</v>
      </c>
      <c r="P46">
        <f t="shared" si="9"/>
        <v>187</v>
      </c>
      <c r="Q46">
        <f t="shared" si="10"/>
        <v>190</v>
      </c>
      <c r="R46">
        <f t="shared" si="11"/>
        <v>190</v>
      </c>
      <c r="S46" s="61">
        <f t="shared" si="12"/>
        <v>185.33333333333334</v>
      </c>
      <c r="T46" s="59" t="str">
        <f>VLOOKUP(A46,Rīcibas_plans!$B$4:$D$234,3,FALSE)</f>
        <v>Teritorija pie Baldones zīmes uz Rīgas un Saules ielas krustojuma (pie zemes gabala Rīgas ielā 20)</v>
      </c>
      <c r="U46" s="59" t="str">
        <f>VLOOKUP(A46,Rīcibas_plans!$B$5:$Q$234,14,FALSE)</f>
        <v xml:space="preserve">Potenciāla pastaigas, laipas taka līdz centra dīķim. Bērnu rotaļu laukums </v>
      </c>
    </row>
    <row r="47" spans="1:21" ht="57.6">
      <c r="A47" s="58" t="s">
        <v>90</v>
      </c>
      <c r="B47">
        <v>400000</v>
      </c>
      <c r="C47">
        <v>1000</v>
      </c>
      <c r="D47">
        <v>6000</v>
      </c>
      <c r="E47">
        <v>600</v>
      </c>
      <c r="F47">
        <v>1</v>
      </c>
      <c r="J47" s="61">
        <f t="shared" si="3"/>
        <v>2.5000000000000001E-3</v>
      </c>
      <c r="K47" s="60">
        <f t="shared" si="4"/>
        <v>1.4999999999999999E-2</v>
      </c>
      <c r="L47" s="60">
        <f t="shared" si="5"/>
        <v>1.5E-3</v>
      </c>
      <c r="M47">
        <f t="shared" si="6"/>
        <v>93</v>
      </c>
      <c r="N47">
        <f t="shared" si="7"/>
        <v>196</v>
      </c>
      <c r="O47">
        <f t="shared" si="8"/>
        <v>214</v>
      </c>
      <c r="P47">
        <f t="shared" si="9"/>
        <v>164</v>
      </c>
      <c r="Q47">
        <f t="shared" si="10"/>
        <v>189</v>
      </c>
      <c r="R47">
        <f t="shared" si="11"/>
        <v>193</v>
      </c>
      <c r="S47" s="61">
        <f t="shared" si="12"/>
        <v>174.83333333333334</v>
      </c>
      <c r="T47" s="59" t="str">
        <f>VLOOKUP(A47,Rīcibas_plans!$B$4:$D$234,3,FALSE)</f>
        <v>Mercendarbes muižas parks</v>
      </c>
      <c r="U47" s="59" t="str">
        <f>VLOOKUP(A47,Rīcibas_plans!$B$5:$Q$234,14,FALSE)</f>
        <v>Parka labiekārtošana. Ceļu, lietišķās atpūtas vietu ierīkošana, dīķa tīrīšana, laipas izveide</v>
      </c>
    </row>
    <row r="48" spans="1:21" ht="28.15" customHeight="1">
      <c r="A48" s="58" t="s">
        <v>91</v>
      </c>
      <c r="B48">
        <v>125000</v>
      </c>
      <c r="C48">
        <v>2000</v>
      </c>
      <c r="D48">
        <v>192000</v>
      </c>
      <c r="E48">
        <v>38400</v>
      </c>
      <c r="F48">
        <v>1</v>
      </c>
      <c r="J48" s="61">
        <f t="shared" si="3"/>
        <v>1.6E-2</v>
      </c>
      <c r="K48" s="60">
        <f t="shared" si="4"/>
        <v>1.536</v>
      </c>
      <c r="L48" s="60">
        <f t="shared" si="5"/>
        <v>0.30719999999999997</v>
      </c>
      <c r="M48">
        <f t="shared" si="6"/>
        <v>64</v>
      </c>
      <c r="N48">
        <f t="shared" si="7"/>
        <v>73</v>
      </c>
      <c r="O48">
        <f t="shared" si="8"/>
        <v>95</v>
      </c>
      <c r="P48">
        <f t="shared" si="9"/>
        <v>108</v>
      </c>
      <c r="Q48">
        <f t="shared" si="10"/>
        <v>108</v>
      </c>
      <c r="R48">
        <f t="shared" si="11"/>
        <v>121</v>
      </c>
      <c r="S48" s="61">
        <f t="shared" si="12"/>
        <v>94.833333333333329</v>
      </c>
      <c r="T48" s="59" t="str">
        <f>VLOOKUP(A48,Rīcibas_plans!$B$4:$D$234,3,FALSE)</f>
        <v>Centrālais skvērs,
Daugavas iela 2, Baldone</v>
      </c>
      <c r="U48" s="59" t="str">
        <f>VLOOKUP(A48,Rīcibas_plans!$B$5:$Q$234,14,FALSE)</f>
        <v>Segumu atjaunošana. Lietišķās atpūtas vietas sakārtošana, papildināšana ar velonovietnēm, soliņiem</v>
      </c>
    </row>
    <row r="49" spans="1:21" ht="72">
      <c r="A49" s="58" t="s">
        <v>92</v>
      </c>
      <c r="B49">
        <v>22500</v>
      </c>
      <c r="C49">
        <v>1000</v>
      </c>
      <c r="D49">
        <v>6000</v>
      </c>
      <c r="E49">
        <v>120</v>
      </c>
      <c r="F49">
        <v>3</v>
      </c>
      <c r="J49" s="61">
        <f t="shared" si="3"/>
        <v>4.4444444444444446E-2</v>
      </c>
      <c r="K49" s="60">
        <f t="shared" si="4"/>
        <v>0.26666666666666666</v>
      </c>
      <c r="L49" s="60">
        <f t="shared" si="5"/>
        <v>5.3333333333333332E-3</v>
      </c>
      <c r="M49">
        <f t="shared" si="6"/>
        <v>93</v>
      </c>
      <c r="N49">
        <f t="shared" si="7"/>
        <v>196</v>
      </c>
      <c r="O49">
        <f t="shared" si="8"/>
        <v>223</v>
      </c>
      <c r="P49">
        <f t="shared" si="9"/>
        <v>81</v>
      </c>
      <c r="Q49">
        <f t="shared" si="10"/>
        <v>157</v>
      </c>
      <c r="R49">
        <f t="shared" si="11"/>
        <v>187</v>
      </c>
      <c r="S49" s="61">
        <f t="shared" si="12"/>
        <v>156.16666666666666</v>
      </c>
      <c r="T49" s="59" t="str">
        <f>VLOOKUP(A49,Rīcibas_plans!$B$4:$D$234,3,FALSE)</f>
        <v>Mercendarbes ceļš (liepu aleja)</v>
      </c>
      <c r="U49" s="59" t="str">
        <f>VLOOKUP(A49,Rīcibas_plans!$B$5:$Q$234,14,FALSE)</f>
        <v>Seguma atjaunošana ar kokiem draudzīgām metodēm. Paredzēt iebrauktuves uz zemes vienībām</v>
      </c>
    </row>
    <row r="50" spans="1:21" ht="28.9">
      <c r="A50" s="58" t="s">
        <v>93</v>
      </c>
      <c r="B50">
        <v>5530</v>
      </c>
      <c r="C50">
        <v>20</v>
      </c>
      <c r="D50">
        <v>1200</v>
      </c>
      <c r="E50">
        <v>120</v>
      </c>
      <c r="F50">
        <v>1</v>
      </c>
      <c r="J50" s="61">
        <f t="shared" si="3"/>
        <v>3.616636528028933E-3</v>
      </c>
      <c r="K50" s="60">
        <f t="shared" si="4"/>
        <v>0.21699819168173598</v>
      </c>
      <c r="L50" s="60">
        <f t="shared" si="5"/>
        <v>2.1699819168173599E-2</v>
      </c>
      <c r="M50">
        <f t="shared" si="6"/>
        <v>225</v>
      </c>
      <c r="N50">
        <f t="shared" si="7"/>
        <v>220</v>
      </c>
      <c r="O50">
        <f t="shared" si="8"/>
        <v>223</v>
      </c>
      <c r="P50">
        <f t="shared" si="9"/>
        <v>154</v>
      </c>
      <c r="Q50">
        <f t="shared" si="10"/>
        <v>162</v>
      </c>
      <c r="R50">
        <f t="shared" si="11"/>
        <v>181</v>
      </c>
      <c r="S50" s="61">
        <f t="shared" si="12"/>
        <v>194.16666666666666</v>
      </c>
      <c r="T50" s="59" t="str">
        <f>VLOOKUP(A50,Rīcibas_plans!$B$4:$D$234,3,FALSE)</f>
        <v>Sabiedriskā transporta pietura "Rasiņas" uz autoceļa  V9 (Iecava - Baldone - Daugmale)</v>
      </c>
      <c r="U50" s="59" t="str">
        <f>VLOOKUP(A50,Rīcibas_plans!$B$5:$Q$234,14,FALSE)</f>
        <v>Veikt platformas izbūvi</v>
      </c>
    </row>
    <row r="51" spans="1:21" ht="28.9">
      <c r="A51" s="58" t="s">
        <v>94</v>
      </c>
      <c r="B51">
        <v>13780</v>
      </c>
      <c r="C51">
        <v>200</v>
      </c>
      <c r="D51">
        <v>36000</v>
      </c>
      <c r="E51">
        <v>3600</v>
      </c>
      <c r="F51">
        <v>1</v>
      </c>
      <c r="J51" s="61">
        <f t="shared" si="3"/>
        <v>1.4513788098693759E-2</v>
      </c>
      <c r="K51" s="60">
        <f t="shared" si="4"/>
        <v>2.6124818577648767</v>
      </c>
      <c r="L51" s="60">
        <f t="shared" si="5"/>
        <v>0.26124818577648767</v>
      </c>
      <c r="M51">
        <f t="shared" si="6"/>
        <v>186</v>
      </c>
      <c r="N51">
        <f t="shared" si="7"/>
        <v>155</v>
      </c>
      <c r="O51">
        <f t="shared" si="8"/>
        <v>194</v>
      </c>
      <c r="P51">
        <f t="shared" si="9"/>
        <v>111</v>
      </c>
      <c r="Q51">
        <f t="shared" si="10"/>
        <v>96</v>
      </c>
      <c r="R51">
        <f t="shared" si="11"/>
        <v>126</v>
      </c>
      <c r="S51" s="61">
        <f t="shared" si="12"/>
        <v>144.66666666666666</v>
      </c>
      <c r="T51" s="59" t="str">
        <f>VLOOKUP(A51,Rīcibas_plans!$B$4:$D$234,3,FALSE)</f>
        <v>Sabiedriskā transporta pietura "Brāļu kapi" uz Rīgas ielas</v>
      </c>
      <c r="U51" s="59" t="str">
        <f>VLOOKUP(A51,Rīcibas_plans!$B$5:$Q$234,14,FALSE)</f>
        <v>Veikt platformas izbūvi. M tipa autobusa pietura</v>
      </c>
    </row>
    <row r="52" spans="1:21" ht="43.15">
      <c r="A52" s="58" t="s">
        <v>95</v>
      </c>
      <c r="B52">
        <v>13780</v>
      </c>
      <c r="C52">
        <v>100</v>
      </c>
      <c r="D52">
        <v>24000</v>
      </c>
      <c r="E52">
        <v>3600</v>
      </c>
      <c r="F52">
        <v>1</v>
      </c>
      <c r="J52" s="61">
        <f t="shared" si="3"/>
        <v>7.2568940493468797E-3</v>
      </c>
      <c r="K52" s="60">
        <f t="shared" si="4"/>
        <v>1.741654571843251</v>
      </c>
      <c r="L52" s="60">
        <f t="shared" si="5"/>
        <v>0.26124818577648767</v>
      </c>
      <c r="M52">
        <f t="shared" si="6"/>
        <v>206</v>
      </c>
      <c r="N52">
        <f t="shared" si="7"/>
        <v>165</v>
      </c>
      <c r="O52">
        <f t="shared" si="8"/>
        <v>194</v>
      </c>
      <c r="P52">
        <f t="shared" si="9"/>
        <v>134</v>
      </c>
      <c r="Q52">
        <f t="shared" si="10"/>
        <v>106</v>
      </c>
      <c r="R52">
        <f t="shared" si="11"/>
        <v>126</v>
      </c>
      <c r="S52" s="61">
        <f t="shared" si="12"/>
        <v>155.16666666666666</v>
      </c>
      <c r="T52" s="59" t="str">
        <f>VLOOKUP(A52,Rīcibas_plans!$B$4:$D$234,3,FALSE)</f>
        <v>Sabiedriskā transporta pietura "Senču veikals"  Vārpās uz autoceļa V9 (Iecava - Baldone - Daugmale)</v>
      </c>
      <c r="U52" s="59" t="str">
        <f>VLOOKUP(A52,Rīcibas_plans!$B$5:$Q$234,14,FALSE)</f>
        <v>M tipa autobusa pietura</v>
      </c>
    </row>
    <row r="53" spans="1:21" ht="28.9">
      <c r="A53" s="58" t="s">
        <v>96</v>
      </c>
      <c r="B53">
        <v>42000</v>
      </c>
      <c r="C53">
        <v>50</v>
      </c>
      <c r="D53">
        <v>3000</v>
      </c>
      <c r="E53">
        <v>600</v>
      </c>
      <c r="F53">
        <v>3</v>
      </c>
      <c r="J53" s="61">
        <f t="shared" si="3"/>
        <v>1.1904761904761906E-3</v>
      </c>
      <c r="K53" s="60">
        <f t="shared" si="4"/>
        <v>7.1428571428571425E-2</v>
      </c>
      <c r="L53" s="60">
        <f t="shared" si="5"/>
        <v>1.4285714285714285E-2</v>
      </c>
      <c r="M53">
        <f t="shared" si="6"/>
        <v>215</v>
      </c>
      <c r="N53">
        <f t="shared" si="7"/>
        <v>214</v>
      </c>
      <c r="O53">
        <f t="shared" si="8"/>
        <v>214</v>
      </c>
      <c r="P53">
        <f t="shared" si="9"/>
        <v>181</v>
      </c>
      <c r="Q53">
        <f t="shared" si="10"/>
        <v>181</v>
      </c>
      <c r="R53">
        <f t="shared" si="11"/>
        <v>184</v>
      </c>
      <c r="S53" s="61">
        <f t="shared" si="12"/>
        <v>198.16666666666666</v>
      </c>
      <c r="T53" s="59" t="str">
        <f>VLOOKUP(A53,Rīcibas_plans!$B$4:$D$234,3,FALSE)</f>
        <v>Mežvidu ielas gājēju infrastruktūra (virziens uz bij. pansionātu)</v>
      </c>
      <c r="U53" s="59" t="str">
        <f>VLOOKUP(A53,Rīcibas_plans!$B$5:$Q$234,14,FALSE)</f>
        <v>Gājēju infrastruktūras izveide, apgaismojums</v>
      </c>
    </row>
    <row r="54" spans="1:21" ht="43.15">
      <c r="A54" s="58" t="s">
        <v>97</v>
      </c>
      <c r="B54">
        <v>42000</v>
      </c>
      <c r="C54">
        <v>2500</v>
      </c>
      <c r="D54">
        <v>600000</v>
      </c>
      <c r="E54">
        <v>30000</v>
      </c>
      <c r="F54">
        <v>3</v>
      </c>
      <c r="J54" s="61">
        <f t="shared" si="3"/>
        <v>5.9523809523809521E-2</v>
      </c>
      <c r="K54" s="60">
        <f t="shared" si="4"/>
        <v>14.285714285714286</v>
      </c>
      <c r="L54" s="60">
        <f t="shared" si="5"/>
        <v>0.7142857142857143</v>
      </c>
      <c r="M54">
        <f t="shared" si="6"/>
        <v>55</v>
      </c>
      <c r="N54">
        <f t="shared" si="7"/>
        <v>27</v>
      </c>
      <c r="O54">
        <f t="shared" si="8"/>
        <v>107</v>
      </c>
      <c r="P54">
        <f t="shared" si="9"/>
        <v>69</v>
      </c>
      <c r="Q54">
        <f t="shared" si="10"/>
        <v>45</v>
      </c>
      <c r="R54">
        <f t="shared" si="11"/>
        <v>101</v>
      </c>
      <c r="S54" s="61">
        <f t="shared" si="12"/>
        <v>67.333333333333329</v>
      </c>
      <c r="T54" s="59" t="str">
        <f>VLOOKUP(A54,Rīcibas_plans!$B$4:$D$234,3,FALSE)</f>
        <v>Ceriņu iela (aiz pirmsskolas iestādes)</v>
      </c>
      <c r="U54" s="59" t="str">
        <f>VLOOKUP(A54,Rīcibas_plans!$B$5:$Q$234,14,FALSE)</f>
        <v>Gājēju ietve. Autostāvvietas gar ielu. Lietišķās atpūtas vieta</v>
      </c>
    </row>
    <row r="55" spans="1:21" ht="86.45">
      <c r="A55" s="58" t="s">
        <v>98</v>
      </c>
      <c r="B55">
        <v>300000</v>
      </c>
      <c r="C55">
        <v>1000</v>
      </c>
      <c r="D55">
        <v>180000</v>
      </c>
      <c r="E55">
        <v>72000</v>
      </c>
      <c r="F55">
        <v>7</v>
      </c>
      <c r="J55" s="61">
        <f t="shared" si="3"/>
        <v>3.3333333333333335E-3</v>
      </c>
      <c r="K55" s="60">
        <f t="shared" si="4"/>
        <v>0.6</v>
      </c>
      <c r="L55" s="60">
        <f t="shared" si="5"/>
        <v>0.24</v>
      </c>
      <c r="M55">
        <f t="shared" si="6"/>
        <v>93</v>
      </c>
      <c r="N55">
        <f t="shared" si="7"/>
        <v>77</v>
      </c>
      <c r="O55">
        <f t="shared" si="8"/>
        <v>65</v>
      </c>
      <c r="P55">
        <f t="shared" si="9"/>
        <v>155</v>
      </c>
      <c r="Q55">
        <f t="shared" si="10"/>
        <v>135</v>
      </c>
      <c r="R55">
        <f t="shared" si="11"/>
        <v>132</v>
      </c>
      <c r="S55" s="61">
        <f t="shared" si="12"/>
        <v>109.5</v>
      </c>
      <c r="T55" s="59" t="str">
        <f>VLOOKUP(A55,Rīcibas_plans!$B$4:$D$234,3,FALSE)</f>
        <v>Ceriņu iela 1 teritorija (aiz pirmsskolas iestādes)</v>
      </c>
      <c r="U55" s="59" t="str">
        <f>VLOOKUP(A55,Rīcibas_plans!$B$5:$Q$234,14,FALSE)</f>
        <v>Potenciāla labiekārtotas zaļās teritorijas attīstība, lietišķās atpūta vietas, gājēju ceļu struktūra, kokaugi Automašīnu stāvvietas.</v>
      </c>
    </row>
    <row r="56" spans="1:21" ht="72">
      <c r="A56" s="58" t="s">
        <v>99</v>
      </c>
      <c r="B56">
        <v>40000</v>
      </c>
      <c r="C56">
        <v>300</v>
      </c>
      <c r="D56">
        <v>18000</v>
      </c>
      <c r="E56">
        <v>5400</v>
      </c>
      <c r="F56">
        <v>1</v>
      </c>
      <c r="J56" s="61">
        <f t="shared" si="3"/>
        <v>7.4999999999999997E-3</v>
      </c>
      <c r="K56" s="60">
        <f t="shared" si="4"/>
        <v>0.45</v>
      </c>
      <c r="L56" s="60">
        <f t="shared" si="5"/>
        <v>0.13500000000000001</v>
      </c>
      <c r="M56">
        <f t="shared" si="6"/>
        <v>178</v>
      </c>
      <c r="N56">
        <f t="shared" si="7"/>
        <v>184</v>
      </c>
      <c r="O56">
        <f t="shared" si="8"/>
        <v>187</v>
      </c>
      <c r="P56">
        <f t="shared" si="9"/>
        <v>130</v>
      </c>
      <c r="Q56">
        <f t="shared" si="10"/>
        <v>145</v>
      </c>
      <c r="R56">
        <f t="shared" si="11"/>
        <v>149</v>
      </c>
      <c r="S56" s="61">
        <f t="shared" si="12"/>
        <v>162.16666666666666</v>
      </c>
      <c r="T56" s="59" t="str">
        <f>VLOOKUP(A56,Rīcibas_plans!$B$4:$D$234,3,FALSE)</f>
        <v>Daugavas ielas bērnu laukuma teritorija pretī zemes gabalam Daugavas ielā 15</v>
      </c>
      <c r="U56" s="59" t="str">
        <f>VLOOKUP(A56,Rīcibas_plans!$B$5:$Q$234,14,FALSE)</f>
        <v>Rotaļu elementu atjaunošana.
Piekļuves uzlabošana.
Norobežojošs nožogojums, stādījumi</v>
      </c>
    </row>
    <row r="57" spans="1:21" ht="28.9">
      <c r="A57" s="58" t="s">
        <v>100</v>
      </c>
      <c r="B57">
        <v>50</v>
      </c>
      <c r="C57">
        <v>3000</v>
      </c>
      <c r="D57">
        <v>18000</v>
      </c>
      <c r="E57">
        <v>27000</v>
      </c>
      <c r="F57">
        <v>7</v>
      </c>
      <c r="J57" s="61">
        <f t="shared" si="3"/>
        <v>60</v>
      </c>
      <c r="K57" s="60">
        <f t="shared" si="4"/>
        <v>360</v>
      </c>
      <c r="L57" s="60">
        <f t="shared" si="5"/>
        <v>540</v>
      </c>
      <c r="M57">
        <f t="shared" si="6"/>
        <v>40</v>
      </c>
      <c r="N57">
        <f t="shared" si="7"/>
        <v>184</v>
      </c>
      <c r="O57">
        <f t="shared" si="8"/>
        <v>124</v>
      </c>
      <c r="P57">
        <f t="shared" si="9"/>
        <v>1</v>
      </c>
      <c r="Q57">
        <f t="shared" si="10"/>
        <v>8</v>
      </c>
      <c r="R57">
        <f t="shared" si="11"/>
        <v>4</v>
      </c>
      <c r="S57" s="61">
        <f t="shared" si="12"/>
        <v>60.166666666666664</v>
      </c>
      <c r="T57" s="59" t="str">
        <f>VLOOKUP(A57,Rīcibas_plans!$B$4:$D$234,3,FALSE)</f>
        <v>Vanagkalnu estrādes teritorija, Vanagkalnu iela 50</v>
      </c>
      <c r="U57" s="59" t="str">
        <f>VLOOKUP(A57,Rīcibas_plans!$B$5:$Q$234,14,FALSE)</f>
        <v xml:space="preserve">Esošās infrastruktūras atjaunošana. </v>
      </c>
    </row>
    <row r="58" spans="1:21" ht="72">
      <c r="A58" s="58" t="s">
        <v>101</v>
      </c>
      <c r="B58">
        <v>3500000</v>
      </c>
      <c r="C58">
        <v>2000</v>
      </c>
      <c r="D58">
        <v>24000</v>
      </c>
      <c r="E58">
        <v>9600</v>
      </c>
      <c r="F58">
        <v>7</v>
      </c>
      <c r="J58" s="61">
        <f t="shared" si="3"/>
        <v>5.7142857142857147E-4</v>
      </c>
      <c r="K58" s="60">
        <f t="shared" si="4"/>
        <v>6.8571428571428568E-3</v>
      </c>
      <c r="L58" s="60">
        <f t="shared" si="5"/>
        <v>2.7428571428571428E-3</v>
      </c>
      <c r="M58">
        <f t="shared" si="6"/>
        <v>64</v>
      </c>
      <c r="N58">
        <f t="shared" si="7"/>
        <v>165</v>
      </c>
      <c r="O58">
        <f t="shared" si="8"/>
        <v>161</v>
      </c>
      <c r="P58">
        <f t="shared" si="9"/>
        <v>190</v>
      </c>
      <c r="Q58">
        <f t="shared" si="10"/>
        <v>192</v>
      </c>
      <c r="R58">
        <f t="shared" si="11"/>
        <v>191</v>
      </c>
      <c r="S58" s="61">
        <f t="shared" si="12"/>
        <v>160.5</v>
      </c>
      <c r="T58" s="59" t="str">
        <f>VLOOKUP(A58,Rīcibas_plans!$B$4:$D$234,3,FALSE)</f>
        <v>Vanagkalnu dabas parka teritorija</v>
      </c>
      <c r="U58" s="59" t="str">
        <f>VLOOKUP(A58,Rīcibas_plans!$B$5:$Q$234,14,FALSE)</f>
        <v>Potenciāla bērnu rotaļu laukuma izveide. Ceļu struktūra, lietišķās atpūtas vietas. Autostāvvietu izbūve</v>
      </c>
    </row>
    <row r="59" spans="1:21" ht="100.9">
      <c r="A59" s="58" t="s">
        <v>102</v>
      </c>
      <c r="B59">
        <v>50000</v>
      </c>
      <c r="C59">
        <v>2000</v>
      </c>
      <c r="D59">
        <v>96000</v>
      </c>
      <c r="E59">
        <v>4800</v>
      </c>
      <c r="F59">
        <v>1</v>
      </c>
      <c r="J59" s="61">
        <f t="shared" si="3"/>
        <v>0.04</v>
      </c>
      <c r="K59" s="60">
        <f t="shared" si="4"/>
        <v>1.92</v>
      </c>
      <c r="L59" s="60">
        <f t="shared" si="5"/>
        <v>9.6000000000000002E-2</v>
      </c>
      <c r="M59">
        <f t="shared" si="6"/>
        <v>64</v>
      </c>
      <c r="N59">
        <f t="shared" si="7"/>
        <v>116</v>
      </c>
      <c r="O59">
        <f t="shared" si="8"/>
        <v>189</v>
      </c>
      <c r="P59">
        <f t="shared" si="9"/>
        <v>85</v>
      </c>
      <c r="Q59">
        <f t="shared" si="10"/>
        <v>103</v>
      </c>
      <c r="R59">
        <f t="shared" si="11"/>
        <v>159</v>
      </c>
      <c r="S59" s="61">
        <f t="shared" si="12"/>
        <v>119.33333333333333</v>
      </c>
      <c r="T59" s="59" t="str">
        <f>VLOOKUP(A59,Rīcibas_plans!$B$4:$D$234,3,FALSE)</f>
        <v>Baldones kinoteātra (kultūras nama) pieguļošā teritorija,
Daugavas iela 2, Baldone</v>
      </c>
      <c r="U59" s="59" t="str">
        <f>VLOOKUP(A59,Rīcibas_plans!$B$5:$Q$234,14,FALSE)</f>
        <v>Segumu atjaunošana. Esošā piemiņas akmens pārcelšana uz Ceriņa parka teritoriju. Navigācijas norādes pie kinoteātra. Informācija par objektu "Kultūras nams"</v>
      </c>
    </row>
    <row r="60" spans="1:21" ht="72">
      <c r="A60" s="58" t="s">
        <v>103</v>
      </c>
      <c r="B60">
        <v>137500</v>
      </c>
      <c r="C60">
        <v>1000</v>
      </c>
      <c r="D60">
        <v>120000</v>
      </c>
      <c r="E60">
        <v>48000</v>
      </c>
      <c r="F60">
        <v>2</v>
      </c>
      <c r="J60" s="61">
        <f t="shared" si="3"/>
        <v>7.2727272727272727E-3</v>
      </c>
      <c r="K60" s="60">
        <f t="shared" si="4"/>
        <v>0.87272727272727268</v>
      </c>
      <c r="L60" s="60">
        <f t="shared" si="5"/>
        <v>0.34909090909090912</v>
      </c>
      <c r="M60">
        <f t="shared" si="6"/>
        <v>93</v>
      </c>
      <c r="N60">
        <f t="shared" si="7"/>
        <v>95</v>
      </c>
      <c r="O60">
        <f t="shared" si="8"/>
        <v>86</v>
      </c>
      <c r="P60">
        <f t="shared" si="9"/>
        <v>132</v>
      </c>
      <c r="Q60">
        <f t="shared" si="10"/>
        <v>121</v>
      </c>
      <c r="R60">
        <f t="shared" si="11"/>
        <v>118</v>
      </c>
      <c r="S60" s="61">
        <f t="shared" si="12"/>
        <v>107.5</v>
      </c>
      <c r="T60" s="59" t="str">
        <f>VLOOKUP(A60,Rīcibas_plans!$B$4:$D$234,3,FALSE)</f>
        <v>Rīgas iela (autoceļš P91 Mežvidi - Baldone)  no Mežvidu ielas līdz Mežvidiem (pilsētas robežai)</v>
      </c>
      <c r="U60" s="59" t="str">
        <f>VLOOKUP(A60,Rīcibas_plans!$B$5:$Q$234,14,FALSE)</f>
        <v>Lietišķo atpūtas vietu izbūve. Apvienotā gājēju un velo ceļaa izbūve (zīmes, marķējums). Apgaismojums.</v>
      </c>
    </row>
    <row r="61" spans="1:21" ht="43.15">
      <c r="A61" s="58" t="s">
        <v>104</v>
      </c>
      <c r="B61">
        <v>147000</v>
      </c>
      <c r="C61">
        <v>1500</v>
      </c>
      <c r="D61">
        <v>90000</v>
      </c>
      <c r="E61">
        <v>45000</v>
      </c>
      <c r="F61">
        <v>3</v>
      </c>
      <c r="J61" s="61">
        <f t="shared" si="3"/>
        <v>1.020408163265306E-2</v>
      </c>
      <c r="K61" s="60">
        <f t="shared" si="4"/>
        <v>0.61224489795918369</v>
      </c>
      <c r="L61" s="60">
        <f t="shared" si="5"/>
        <v>0.30612244897959184</v>
      </c>
      <c r="M61">
        <f t="shared" si="6"/>
        <v>76</v>
      </c>
      <c r="N61">
        <f t="shared" si="7"/>
        <v>121</v>
      </c>
      <c r="O61">
        <f t="shared" si="8"/>
        <v>92</v>
      </c>
      <c r="P61">
        <f t="shared" si="9"/>
        <v>121</v>
      </c>
      <c r="Q61">
        <f t="shared" si="10"/>
        <v>134</v>
      </c>
      <c r="R61">
        <f t="shared" si="11"/>
        <v>122</v>
      </c>
      <c r="S61" s="61">
        <f t="shared" si="12"/>
        <v>111</v>
      </c>
      <c r="T61" s="59" t="str">
        <f>VLOOKUP(A61,Rīcibas_plans!$B$4:$D$234,3,FALSE)</f>
        <v>Gājēju ceļš - V9 (Iecava - Baldone - Daugmale) no Baldones esošā gājēju ceļa līdz Mercendarbei</v>
      </c>
      <c r="U61" s="59" t="str">
        <f>VLOOKUP(A61,Rīcibas_plans!$B$5:$Q$234,14,FALSE)</f>
        <v>Apvienotais gājēju - velo ceļš, Apgaismojums, 2 lietišķās atpūtas vietas.</v>
      </c>
    </row>
    <row r="62" spans="1:21" ht="43.15">
      <c r="A62" s="58" t="s">
        <v>105</v>
      </c>
      <c r="B62">
        <v>0</v>
      </c>
      <c r="C62">
        <v>200</v>
      </c>
      <c r="D62">
        <v>2400</v>
      </c>
      <c r="E62">
        <v>6000</v>
      </c>
      <c r="F62">
        <v>7</v>
      </c>
      <c r="J62" s="61" t="str">
        <f t="shared" si="3"/>
        <v/>
      </c>
      <c r="K62" s="60" t="str">
        <f t="shared" si="4"/>
        <v/>
      </c>
      <c r="L62" s="60" t="str">
        <f t="shared" si="5"/>
        <v/>
      </c>
      <c r="M62">
        <f t="shared" si="6"/>
        <v>186</v>
      </c>
      <c r="N62">
        <f t="shared" si="7"/>
        <v>216</v>
      </c>
      <c r="O62">
        <f t="shared" si="8"/>
        <v>180</v>
      </c>
      <c r="P62" t="e">
        <f t="shared" si="9"/>
        <v>#VALUE!</v>
      </c>
      <c r="Q62" t="e">
        <f t="shared" si="10"/>
        <v>#VALUE!</v>
      </c>
      <c r="R62" t="e">
        <f t="shared" si="11"/>
        <v>#VALUE!</v>
      </c>
      <c r="S62" s="61" t="e">
        <f t="shared" si="12"/>
        <v>#VALUE!</v>
      </c>
      <c r="T62" s="59" t="str">
        <f>VLOOKUP(A62,Rīcibas_plans!$B$4:$D$234,3,FALSE)</f>
        <v>Pastaigu/ tūrisma maršruts Baldone- Daugmale</v>
      </c>
      <c r="U62" s="59" t="str">
        <f>VLOOKUP(A62,Rīcibas_plans!$B$5:$Q$234,14,FALSE)</f>
        <v>Gājēju takas marķējums, lietišķās atpūtas vietas, norādes</v>
      </c>
    </row>
    <row r="63" spans="1:21" ht="86.45">
      <c r="A63" s="58" t="s">
        <v>106</v>
      </c>
      <c r="B63">
        <v>45100</v>
      </c>
      <c r="C63">
        <v>2000</v>
      </c>
      <c r="D63">
        <v>360000</v>
      </c>
      <c r="E63">
        <v>360000</v>
      </c>
      <c r="F63">
        <v>7</v>
      </c>
      <c r="J63" s="61">
        <f t="shared" si="3"/>
        <v>4.4345898004434593E-2</v>
      </c>
      <c r="K63" s="60">
        <f t="shared" si="4"/>
        <v>7.9822616407982263</v>
      </c>
      <c r="L63" s="60">
        <f t="shared" si="5"/>
        <v>7.9822616407982263</v>
      </c>
      <c r="M63">
        <f t="shared" si="6"/>
        <v>64</v>
      </c>
      <c r="N63">
        <f t="shared" si="7"/>
        <v>43</v>
      </c>
      <c r="O63">
        <f t="shared" si="8"/>
        <v>18</v>
      </c>
      <c r="P63">
        <f t="shared" si="9"/>
        <v>82</v>
      </c>
      <c r="Q63">
        <f t="shared" si="10"/>
        <v>65</v>
      </c>
      <c r="R63">
        <f t="shared" si="11"/>
        <v>26</v>
      </c>
      <c r="S63" s="61">
        <f t="shared" si="12"/>
        <v>49.666666666666664</v>
      </c>
      <c r="T63" s="59" t="str">
        <f>VLOOKUP(A63,Rīcibas_plans!$B$4:$D$234,3,FALSE)</f>
        <v>Aktīvās atpūtas laukums pie Baldones sporta kompleksa, Iecavas iela 2, Baldone</v>
      </c>
      <c r="U63" s="59" t="str">
        <f>VLOOKUP(A63,Rīcibas_plans!$B$5:$Q$234,14,FALSE)</f>
        <v>Potenciāli attīstāms par XL aktīvās atpūtas laukumu papildinot ar rotaļu laukumu. Papildināt ar lietišķās atpūtas vietām, āra tualeti, norādēm</v>
      </c>
    </row>
    <row r="64" spans="1:21" ht="28.9">
      <c r="A64" s="58" t="s">
        <v>107</v>
      </c>
      <c r="B64">
        <v>3150</v>
      </c>
      <c r="C64">
        <v>200</v>
      </c>
      <c r="D64">
        <v>24000</v>
      </c>
      <c r="E64">
        <v>3600</v>
      </c>
      <c r="F64">
        <v>2</v>
      </c>
      <c r="J64" s="61">
        <f t="shared" si="3"/>
        <v>6.3492063492063489E-2</v>
      </c>
      <c r="K64" s="60">
        <f t="shared" si="4"/>
        <v>7.6190476190476186</v>
      </c>
      <c r="L64" s="60">
        <f t="shared" si="5"/>
        <v>1.1428571428571428</v>
      </c>
      <c r="M64">
        <f t="shared" si="6"/>
        <v>186</v>
      </c>
      <c r="N64">
        <f t="shared" si="7"/>
        <v>165</v>
      </c>
      <c r="O64">
        <f t="shared" si="8"/>
        <v>194</v>
      </c>
      <c r="P64">
        <f t="shared" si="9"/>
        <v>66</v>
      </c>
      <c r="Q64">
        <f t="shared" si="10"/>
        <v>66</v>
      </c>
      <c r="R64">
        <f t="shared" si="11"/>
        <v>85</v>
      </c>
      <c r="S64" s="61">
        <f t="shared" si="12"/>
        <v>127</v>
      </c>
      <c r="T64" s="59" t="str">
        <f>VLOOKUP(A64,Rīcibas_plans!$B$4:$D$234,3,FALSE)</f>
        <v>Sabiedriskā transporta pietura "Mežvidi" uz autoceļa P89 (Ķekava - Skaistkalne)</v>
      </c>
      <c r="U64" s="59" t="str">
        <f>VLOOKUP(A64,Rīcibas_plans!$B$5:$Q$234,14,FALSE)</f>
        <v>Veikt nojumes izbūvi</v>
      </c>
    </row>
    <row r="65" spans="1:21" ht="28.9">
      <c r="A65" s="58" t="s">
        <v>108</v>
      </c>
      <c r="B65">
        <v>5530</v>
      </c>
      <c r="C65">
        <v>10</v>
      </c>
      <c r="D65">
        <v>120</v>
      </c>
      <c r="E65">
        <v>6</v>
      </c>
      <c r="F65">
        <v>2</v>
      </c>
      <c r="J65" s="61">
        <f t="shared" si="3"/>
        <v>1.8083182640144665E-3</v>
      </c>
      <c r="K65" s="60">
        <f t="shared" si="4"/>
        <v>2.1699819168173599E-2</v>
      </c>
      <c r="L65" s="60">
        <f t="shared" si="5"/>
        <v>1.08499095840868E-3</v>
      </c>
      <c r="M65">
        <f t="shared" si="6"/>
        <v>227</v>
      </c>
      <c r="N65">
        <f t="shared" si="7"/>
        <v>228</v>
      </c>
      <c r="O65">
        <f t="shared" si="8"/>
        <v>229</v>
      </c>
      <c r="P65">
        <f t="shared" si="9"/>
        <v>174</v>
      </c>
      <c r="Q65">
        <f t="shared" si="10"/>
        <v>188</v>
      </c>
      <c r="R65">
        <f t="shared" si="11"/>
        <v>194</v>
      </c>
      <c r="S65" s="61">
        <f t="shared" si="12"/>
        <v>206.66666666666666</v>
      </c>
      <c r="T65" s="59" t="str">
        <f>VLOOKUP(A65,Rīcibas_plans!$B$4:$D$234,3,FALSE)</f>
        <v>Sabiedriskā transporta pietura "Mīlu kalni"  uz autoceļa V9 (Iecava - Baldone - Daugmale)</v>
      </c>
      <c r="U65" s="59" t="str">
        <f>VLOOKUP(A65,Rīcibas_plans!$B$5:$Q$234,14,FALSE)</f>
        <v>Veikt platformas, soliņu izbūvi</v>
      </c>
    </row>
    <row r="66" spans="1:21" ht="57.6">
      <c r="A66" s="58" t="s">
        <v>109</v>
      </c>
      <c r="B66">
        <v>5530</v>
      </c>
      <c r="C66">
        <v>10</v>
      </c>
      <c r="D66">
        <v>600</v>
      </c>
      <c r="E66">
        <v>60</v>
      </c>
      <c r="F66">
        <v>1</v>
      </c>
      <c r="J66" s="61">
        <f t="shared" si="3"/>
        <v>1.8083182640144665E-3</v>
      </c>
      <c r="K66" s="60">
        <f t="shared" si="4"/>
        <v>0.10849909584086799</v>
      </c>
      <c r="L66" s="60">
        <f t="shared" si="5"/>
        <v>1.0849909584086799E-2</v>
      </c>
      <c r="M66">
        <f t="shared" si="6"/>
        <v>227</v>
      </c>
      <c r="N66">
        <f t="shared" si="7"/>
        <v>225</v>
      </c>
      <c r="O66">
        <f t="shared" si="8"/>
        <v>225</v>
      </c>
      <c r="P66">
        <f t="shared" si="9"/>
        <v>174</v>
      </c>
      <c r="Q66">
        <f t="shared" si="10"/>
        <v>175</v>
      </c>
      <c r="R66">
        <f t="shared" si="11"/>
        <v>185</v>
      </c>
      <c r="S66" s="61">
        <f t="shared" si="12"/>
        <v>201.83333333333334</v>
      </c>
      <c r="T66" s="59" t="str">
        <f>VLOOKUP(A66,Rīcibas_plans!$B$4:$D$234,3,FALSE)</f>
        <v>Sabiedriskā transporta pietura "Stūri 1"  uz autoceļa V9 (Iecava - Baldone - Daugmale)</v>
      </c>
      <c r="U66" s="59" t="str">
        <f>VLOOKUP(A66,Rīcibas_plans!$B$5:$Q$234,14,FALSE)</f>
        <v>Veikt platformas, soliņu izbūvi. Esošā labiekārtojuma atjaunošanu.</v>
      </c>
    </row>
    <row r="67" spans="1:21" ht="115.15">
      <c r="A67" s="58" t="s">
        <v>110</v>
      </c>
      <c r="B67">
        <v>60000</v>
      </c>
      <c r="C67">
        <v>3000</v>
      </c>
      <c r="D67">
        <v>720000</v>
      </c>
      <c r="E67">
        <v>144000</v>
      </c>
      <c r="F67">
        <v>3</v>
      </c>
      <c r="J67" s="61">
        <f t="shared" si="3"/>
        <v>0.05</v>
      </c>
      <c r="K67" s="60">
        <f t="shared" si="4"/>
        <v>12</v>
      </c>
      <c r="L67" s="60">
        <f t="shared" si="5"/>
        <v>2.4</v>
      </c>
      <c r="M67">
        <f t="shared" si="6"/>
        <v>40</v>
      </c>
      <c r="N67">
        <f t="shared" si="7"/>
        <v>20</v>
      </c>
      <c r="O67">
        <f t="shared" si="8"/>
        <v>35</v>
      </c>
      <c r="P67">
        <f t="shared" si="9"/>
        <v>75</v>
      </c>
      <c r="Q67">
        <f t="shared" si="10"/>
        <v>51</v>
      </c>
      <c r="R67">
        <f t="shared" si="11"/>
        <v>57</v>
      </c>
      <c r="S67" s="61">
        <f t="shared" si="12"/>
        <v>46.333333333333336</v>
      </c>
      <c r="T67" s="59" t="str">
        <f>VLOOKUP(A67,Rīcibas_plans!$B$4:$D$234,3,FALSE)</f>
        <v>Reģionālais mobilitātes punkts. Rīgas iela 91 un Pasta iela 9</v>
      </c>
      <c r="U67" s="59" t="str">
        <f>VLOOKUP(A67,Rīcibas_plans!$B$5:$Q$234,14,FALSE)</f>
        <v>Reģiona mobilitātes punkta izveide,kas ietver teritorijas labiekārtojumu ar autostāvvietu, elektrouzlādes vietu, velosipēdu novietņu izveidi, gājēju un velo infrastruktūru.</v>
      </c>
    </row>
    <row r="68" spans="1:21" ht="72">
      <c r="A68" s="58" t="s">
        <v>111</v>
      </c>
      <c r="B68">
        <v>770000</v>
      </c>
      <c r="C68">
        <v>500</v>
      </c>
      <c r="D68">
        <v>150000</v>
      </c>
      <c r="E68">
        <v>37500</v>
      </c>
      <c r="F68">
        <v>1</v>
      </c>
      <c r="J68" s="61">
        <f t="shared" si="3"/>
        <v>6.4935064935064935E-4</v>
      </c>
      <c r="K68" s="60">
        <f t="shared" si="4"/>
        <v>0.19480519480519481</v>
      </c>
      <c r="L68" s="60">
        <f t="shared" si="5"/>
        <v>4.8701298701298704E-2</v>
      </c>
      <c r="M68">
        <f t="shared" si="6"/>
        <v>149</v>
      </c>
      <c r="N68">
        <f t="shared" si="7"/>
        <v>86</v>
      </c>
      <c r="O68">
        <f t="shared" si="8"/>
        <v>98</v>
      </c>
      <c r="P68">
        <f t="shared" si="9"/>
        <v>188</v>
      </c>
      <c r="Q68">
        <f t="shared" si="10"/>
        <v>164</v>
      </c>
      <c r="R68">
        <f t="shared" si="11"/>
        <v>174</v>
      </c>
      <c r="S68" s="61">
        <f t="shared" si="12"/>
        <v>143.16666666666666</v>
      </c>
      <c r="T68" s="59" t="str">
        <f>VLOOKUP(A68,Rīcibas_plans!$B$4:$D$234,3,FALSE)</f>
        <v>Gājēju un velosipēdu ietve un labiekārtojums Ķeguma prospektā no Parka ielas līdz Tilta ielai</v>
      </c>
      <c r="U68" s="59" t="str">
        <f>VLOOKUP(A68,Rīcibas_plans!$B$5:$Q$234,14,FALSE)</f>
        <v>Ielas asfaltēšana, gājēju un velosipēdu apvienotā ceļa izbūve, lietišķo atpūtas vietu izbūve, apgaismojuma izbūve</v>
      </c>
    </row>
    <row r="69" spans="1:21" ht="28.9">
      <c r="A69" s="58" t="s">
        <v>112</v>
      </c>
      <c r="B69">
        <v>6890</v>
      </c>
      <c r="C69">
        <v>2000</v>
      </c>
      <c r="D69">
        <v>96000</v>
      </c>
      <c r="E69">
        <v>4800</v>
      </c>
      <c r="F69">
        <v>2</v>
      </c>
      <c r="J69" s="61">
        <f t="shared" ref="J69:J132" si="13">IFERROR(C69/B69,"")</f>
        <v>0.29027576197387517</v>
      </c>
      <c r="K69" s="60">
        <f t="shared" ref="K69:K132" si="14">IFERROR(D69/B69,"")</f>
        <v>13.933236574746008</v>
      </c>
      <c r="L69" s="60">
        <f t="shared" ref="L69:L132" si="15">IFERROR(E69/B69, "")</f>
        <v>0.69666182873730043</v>
      </c>
      <c r="M69">
        <f t="shared" ref="M69:M132" si="16">_xlfn.RANK.EQ(C69,C$4:C$232,0)</f>
        <v>64</v>
      </c>
      <c r="N69">
        <f t="shared" ref="N69:N132" si="17">_xlfn.RANK.EQ(D69,D$4:D$232,0)</f>
        <v>116</v>
      </c>
      <c r="O69">
        <f t="shared" ref="O69:O132" si="18">_xlfn.RANK.EQ(E69,E$4:E$232,0)</f>
        <v>189</v>
      </c>
      <c r="P69">
        <f t="shared" ref="P69:P132" si="19">_xlfn.RANK.EQ(J69,J$4:J$232,0)</f>
        <v>26</v>
      </c>
      <c r="Q69">
        <f t="shared" ref="Q69:Q132" si="20">_xlfn.RANK.EQ(K69,K$4:K$232,0)</f>
        <v>47</v>
      </c>
      <c r="R69">
        <f t="shared" ref="R69:R132" si="21">_xlfn.RANK.EQ(L69,L$4:L$232,0)</f>
        <v>103</v>
      </c>
      <c r="S69" s="61">
        <f t="shared" ref="S69:S132" si="22">AVERAGE(M69:R69)</f>
        <v>90.833333333333329</v>
      </c>
      <c r="T69" s="59" t="str">
        <f>VLOOKUP(A69,Rīcibas_plans!$B$4:$D$234,3,FALSE)</f>
        <v>Sabiedriskā transporta pietura "Baznīca" pie centrālā skvēra, Daugavas iela 2, Baldone</v>
      </c>
      <c r="U69" s="59" t="str">
        <f>VLOOKUP(A69,Rīcibas_plans!$B$5:$Q$234,14,FALSE)</f>
        <v>Nojumes izbūve</v>
      </c>
    </row>
    <row r="70" spans="1:21" ht="86.45">
      <c r="A70" s="58" t="s">
        <v>113</v>
      </c>
      <c r="B70">
        <v>100</v>
      </c>
      <c r="C70">
        <v>2000</v>
      </c>
      <c r="D70">
        <v>360000</v>
      </c>
      <c r="E70">
        <v>3600</v>
      </c>
      <c r="F70">
        <v>3</v>
      </c>
      <c r="J70" s="61">
        <f t="shared" si="13"/>
        <v>20</v>
      </c>
      <c r="K70" s="60">
        <f t="shared" si="14"/>
        <v>3600</v>
      </c>
      <c r="L70" s="60">
        <f t="shared" si="15"/>
        <v>36</v>
      </c>
      <c r="M70">
        <f t="shared" si="16"/>
        <v>64</v>
      </c>
      <c r="N70">
        <f t="shared" si="17"/>
        <v>43</v>
      </c>
      <c r="O70">
        <f t="shared" si="18"/>
        <v>194</v>
      </c>
      <c r="P70">
        <f t="shared" si="19"/>
        <v>5</v>
      </c>
      <c r="Q70">
        <f t="shared" si="20"/>
        <v>2</v>
      </c>
      <c r="R70">
        <f t="shared" si="21"/>
        <v>10</v>
      </c>
      <c r="S70" s="61">
        <f t="shared" si="22"/>
        <v>53</v>
      </c>
      <c r="T70" s="59" t="str">
        <f>VLOOKUP(A70,Rīcibas_plans!$B$4:$D$234,3,FALSE)</f>
        <v>Gājēju pāreja uz Rīgas ielas (transporta mierināšanas pasākumi) pie Dzirnavu un Rīgas ielas krustojuma (pie zemes gabala Kļavu ielā 1)</v>
      </c>
      <c r="U70" s="59" t="str">
        <f>VLOOKUP(A70,Rīcibas_plans!$B$5:$Q$234,14,FALSE)</f>
        <v>Gājēju pārejas izbūve pie Dzirnavu ielas sabiedriskā transporta pieturas. Nepieciešama saskaņošana ar VAS "Latvijas valsts ceļi"</v>
      </c>
    </row>
    <row r="71" spans="1:21" ht="86.45">
      <c r="A71" s="58" t="s">
        <v>114</v>
      </c>
      <c r="B71">
        <v>13080</v>
      </c>
      <c r="C71">
        <v>1200</v>
      </c>
      <c r="D71">
        <v>288000</v>
      </c>
      <c r="E71">
        <v>43200</v>
      </c>
      <c r="F71">
        <v>2</v>
      </c>
      <c r="J71" s="61">
        <f t="shared" si="13"/>
        <v>9.1743119266055051E-2</v>
      </c>
      <c r="K71" s="60">
        <f t="shared" si="14"/>
        <v>22.01834862385321</v>
      </c>
      <c r="L71" s="60">
        <f t="shared" si="15"/>
        <v>3.3027522935779818</v>
      </c>
      <c r="M71">
        <f t="shared" si="16"/>
        <v>91</v>
      </c>
      <c r="N71">
        <f t="shared" si="17"/>
        <v>58</v>
      </c>
      <c r="O71">
        <f t="shared" si="18"/>
        <v>94</v>
      </c>
      <c r="P71">
        <f t="shared" si="19"/>
        <v>49</v>
      </c>
      <c r="Q71">
        <f t="shared" si="20"/>
        <v>31</v>
      </c>
      <c r="R71">
        <f t="shared" si="21"/>
        <v>48</v>
      </c>
      <c r="S71" s="61">
        <f t="shared" si="22"/>
        <v>61.833333333333336</v>
      </c>
      <c r="T71" s="59" t="str">
        <f>VLOOKUP(A71,Rīcibas_plans!$B$4:$D$234,3,FALSE)</f>
        <v>Sabiedriskā transporta gala pietura "Baldone" teritorija,
Rīgas iela 91, Baldone</v>
      </c>
      <c r="U71" s="59" t="str">
        <f>VLOOKUP(A71,Rīcibas_plans!$B$5:$Q$234,14,FALSE)</f>
        <v>Veikt pieturas pārbūvi veidojot kā L tipa pieturu. Segumu atjaunošana. Norādes, velo novietnes, labiekārtojuma elementi,utt.</v>
      </c>
    </row>
    <row r="72" spans="1:21" ht="86.45">
      <c r="A72" s="58" t="s">
        <v>115</v>
      </c>
      <c r="B72">
        <v>250000</v>
      </c>
      <c r="C72">
        <v>500</v>
      </c>
      <c r="D72">
        <v>120000</v>
      </c>
      <c r="E72">
        <v>18000</v>
      </c>
      <c r="F72">
        <v>2</v>
      </c>
      <c r="J72" s="61">
        <f t="shared" si="13"/>
        <v>2E-3</v>
      </c>
      <c r="K72" s="60">
        <f t="shared" si="14"/>
        <v>0.48</v>
      </c>
      <c r="L72" s="60">
        <f t="shared" si="15"/>
        <v>7.1999999999999995E-2</v>
      </c>
      <c r="M72">
        <f t="shared" si="16"/>
        <v>149</v>
      </c>
      <c r="N72">
        <f t="shared" si="17"/>
        <v>95</v>
      </c>
      <c r="O72">
        <f t="shared" si="18"/>
        <v>135</v>
      </c>
      <c r="P72">
        <f t="shared" si="19"/>
        <v>169</v>
      </c>
      <c r="Q72">
        <f t="shared" si="20"/>
        <v>140</v>
      </c>
      <c r="R72">
        <f t="shared" si="21"/>
        <v>169</v>
      </c>
      <c r="S72" s="61">
        <f t="shared" si="22"/>
        <v>142.83333333333334</v>
      </c>
      <c r="T72" s="59" t="str">
        <f>VLOOKUP(A72,Rīcibas_plans!$B$4:$D$234,3,FALSE)</f>
        <v>Ceriņu parka turpinājums</v>
      </c>
      <c r="U72" s="59" t="str">
        <f>VLOOKUP(A72,Rīcibas_plans!$B$5:$Q$234,14,FALSE)</f>
        <v>Pastaigu takas (laipa) (no sēravota uz Krasta ielas pusi), apgaismojuma, lietišķās atpūtas vietas (S) izbūve.
Potenciāli attīstāma vieta</v>
      </c>
    </row>
    <row r="73" spans="1:21" ht="57.6">
      <c r="A73" s="58" t="s">
        <v>116</v>
      </c>
      <c r="B73">
        <v>7160</v>
      </c>
      <c r="C73">
        <v>3000</v>
      </c>
      <c r="D73">
        <v>144000</v>
      </c>
      <c r="E73">
        <v>216000</v>
      </c>
      <c r="F73">
        <v>2</v>
      </c>
      <c r="J73" s="61">
        <f t="shared" si="13"/>
        <v>0.41899441340782123</v>
      </c>
      <c r="K73" s="60">
        <f t="shared" si="14"/>
        <v>20.11173184357542</v>
      </c>
      <c r="L73" s="60">
        <f t="shared" si="15"/>
        <v>30.16759776536313</v>
      </c>
      <c r="M73">
        <f t="shared" si="16"/>
        <v>40</v>
      </c>
      <c r="N73">
        <f t="shared" si="17"/>
        <v>87</v>
      </c>
      <c r="O73">
        <f t="shared" si="18"/>
        <v>31</v>
      </c>
      <c r="P73">
        <f t="shared" si="19"/>
        <v>18</v>
      </c>
      <c r="Q73">
        <f t="shared" si="20"/>
        <v>34</v>
      </c>
      <c r="R73">
        <f t="shared" si="21"/>
        <v>11</v>
      </c>
      <c r="S73" s="61">
        <f t="shared" si="22"/>
        <v>36.833333333333336</v>
      </c>
      <c r="T73" s="59" t="str">
        <f>VLOOKUP(A73,Rīcibas_plans!$B$4:$D$234,3,FALSE)</f>
        <v>Baldones dīķa atpūtas vieta "Saliņas"</v>
      </c>
      <c r="U73" s="59" t="str">
        <f>VLOOKUP(A73,Rīcibas_plans!$B$5:$Q$234,14,FALSE)</f>
        <v>Atpūtas vietas pie ūdens labiekārtošana. Potenciāla bērnu laukuma vietas izveide</v>
      </c>
    </row>
    <row r="74" spans="1:21" ht="28.9">
      <c r="A74" s="58" t="s">
        <v>117</v>
      </c>
      <c r="B74">
        <v>15000</v>
      </c>
      <c r="C74">
        <v>1500</v>
      </c>
      <c r="D74">
        <v>72000</v>
      </c>
      <c r="E74">
        <v>108000</v>
      </c>
      <c r="F74">
        <v>3</v>
      </c>
      <c r="J74" s="61">
        <f t="shared" si="13"/>
        <v>0.1</v>
      </c>
      <c r="K74" s="60">
        <f t="shared" si="14"/>
        <v>4.8</v>
      </c>
      <c r="L74" s="60">
        <f t="shared" si="15"/>
        <v>7.2</v>
      </c>
      <c r="M74">
        <f t="shared" si="16"/>
        <v>76</v>
      </c>
      <c r="N74">
        <f t="shared" si="17"/>
        <v>130</v>
      </c>
      <c r="O74">
        <f t="shared" si="18"/>
        <v>46</v>
      </c>
      <c r="P74">
        <f t="shared" si="19"/>
        <v>47</v>
      </c>
      <c r="Q74">
        <f t="shared" si="20"/>
        <v>75</v>
      </c>
      <c r="R74">
        <f t="shared" si="21"/>
        <v>31</v>
      </c>
      <c r="S74" s="61">
        <f t="shared" si="22"/>
        <v>67.5</v>
      </c>
      <c r="T74" s="59" t="str">
        <f>VLOOKUP(A74,Rīcibas_plans!$B$4:$D$234,3,FALSE)</f>
        <v>Baldones dīķa atpūtas vieta "Saliņas"</v>
      </c>
      <c r="U74" s="59" t="str">
        <f>VLOOKUP(A74,Rīcibas_plans!$B$5:$Q$234,14,FALSE)</f>
        <v>Laivu un SUP nolaišanas vieta ūdenī.</v>
      </c>
    </row>
    <row r="75" spans="1:21" ht="72">
      <c r="A75" s="58" t="s">
        <v>118</v>
      </c>
      <c r="B75">
        <v>750000</v>
      </c>
      <c r="C75">
        <v>2000</v>
      </c>
      <c r="D75">
        <v>96000</v>
      </c>
      <c r="E75">
        <v>28800</v>
      </c>
      <c r="F75">
        <v>3</v>
      </c>
      <c r="J75" s="61">
        <f t="shared" si="13"/>
        <v>2.6666666666666666E-3</v>
      </c>
      <c r="K75" s="60">
        <f t="shared" si="14"/>
        <v>0.128</v>
      </c>
      <c r="L75" s="60">
        <f t="shared" si="15"/>
        <v>3.8399999999999997E-2</v>
      </c>
      <c r="M75">
        <f t="shared" si="16"/>
        <v>64</v>
      </c>
      <c r="N75">
        <f t="shared" si="17"/>
        <v>116</v>
      </c>
      <c r="O75">
        <f t="shared" si="18"/>
        <v>119</v>
      </c>
      <c r="P75">
        <f t="shared" si="19"/>
        <v>162</v>
      </c>
      <c r="Q75">
        <f t="shared" si="20"/>
        <v>171</v>
      </c>
      <c r="R75">
        <f t="shared" si="21"/>
        <v>177</v>
      </c>
      <c r="S75" s="61">
        <f t="shared" si="22"/>
        <v>134.83333333333334</v>
      </c>
      <c r="T75" s="59" t="str">
        <f>VLOOKUP(A75,Rīcibas_plans!$B$4:$D$234,3,FALSE)</f>
        <v>Dabas teritorija pie Baldones dīķa "Saliņas"</v>
      </c>
      <c r="U75" s="59" t="str">
        <f>VLOOKUP(A75,Rīcibas_plans!$B$5:$Q$234,14,FALSE)</f>
        <v>Potenciāla pastaigu taka līdz Baldones zīmei. Potenciāls parks ar lietišķās atpūtas vietām, bērnu rotaļu laukumu.</v>
      </c>
    </row>
    <row r="76" spans="1:21" ht="43.15">
      <c r="A76" s="58" t="s">
        <v>119</v>
      </c>
      <c r="B76">
        <v>105000</v>
      </c>
      <c r="C76">
        <v>1500</v>
      </c>
      <c r="D76">
        <v>270000</v>
      </c>
      <c r="E76">
        <v>108000</v>
      </c>
      <c r="F76">
        <v>3</v>
      </c>
      <c r="J76" s="61">
        <f t="shared" si="13"/>
        <v>1.4285714285714285E-2</v>
      </c>
      <c r="K76" s="60">
        <f t="shared" si="14"/>
        <v>2.5714285714285716</v>
      </c>
      <c r="L76" s="60">
        <f t="shared" si="15"/>
        <v>1.0285714285714285</v>
      </c>
      <c r="M76">
        <f t="shared" si="16"/>
        <v>76</v>
      </c>
      <c r="N76">
        <f t="shared" si="17"/>
        <v>62</v>
      </c>
      <c r="O76">
        <f t="shared" si="18"/>
        <v>46</v>
      </c>
      <c r="P76">
        <f t="shared" si="19"/>
        <v>112</v>
      </c>
      <c r="Q76">
        <f t="shared" si="20"/>
        <v>97</v>
      </c>
      <c r="R76">
        <f t="shared" si="21"/>
        <v>90</v>
      </c>
      <c r="S76" s="61">
        <f t="shared" si="22"/>
        <v>80.5</v>
      </c>
      <c r="T76" s="59" t="str">
        <f>VLOOKUP(A76,Rīcibas_plans!$B$4:$D$234,3,FALSE)</f>
        <v>Vanagkalna iela</v>
      </c>
      <c r="U76" s="59" t="str">
        <f>VLOOKUP(A76,Rīcibas_plans!$B$5:$Q$234,14,FALSE)</f>
        <v>Apgaismotas ietves izbūve līdz Vanagkalna estrādei. Lietišķās atpūtas vietas (S)</v>
      </c>
    </row>
    <row r="77" spans="1:21" ht="86.45">
      <c r="A77" s="58" t="s">
        <v>120</v>
      </c>
      <c r="B77">
        <v>825000</v>
      </c>
      <c r="C77">
        <v>500</v>
      </c>
      <c r="D77">
        <v>60000</v>
      </c>
      <c r="E77">
        <v>30000</v>
      </c>
      <c r="F77">
        <v>7</v>
      </c>
      <c r="J77" s="61">
        <f t="shared" si="13"/>
        <v>6.0606060606060606E-4</v>
      </c>
      <c r="K77" s="60">
        <f t="shared" si="14"/>
        <v>7.2727272727272724E-2</v>
      </c>
      <c r="L77" s="60">
        <f t="shared" si="15"/>
        <v>3.6363636363636362E-2</v>
      </c>
      <c r="M77">
        <f t="shared" si="16"/>
        <v>149</v>
      </c>
      <c r="N77">
        <f t="shared" si="17"/>
        <v>134</v>
      </c>
      <c r="O77">
        <f t="shared" si="18"/>
        <v>107</v>
      </c>
      <c r="P77">
        <f t="shared" si="19"/>
        <v>189</v>
      </c>
      <c r="Q77">
        <f t="shared" si="20"/>
        <v>180</v>
      </c>
      <c r="R77">
        <f t="shared" si="21"/>
        <v>179</v>
      </c>
      <c r="S77" s="61">
        <f t="shared" si="22"/>
        <v>156.33333333333334</v>
      </c>
      <c r="T77" s="59" t="str">
        <f>VLOOKUP(A77,Rīcibas_plans!$B$4:$D$234,3,FALSE)</f>
        <v>Gājēju ietve un velo infrastruktūra no Daugmales centra līdz Bēgļu ceļam gar autoceļu P85 (Rīgas HES - Jaunjelgava)</v>
      </c>
      <c r="U77" s="59" t="str">
        <f>VLOOKUP(A77,Rīcibas_plans!$B$5:$Q$234,14,FALSE)</f>
        <v>Apgaismots  apvienotais gājēju un velosipēdu ceļš, apgaismots. Gājēju pārejas un savienojumi ar esošajām sabiedriskā transporta pieturām.</v>
      </c>
    </row>
    <row r="78" spans="1:21" ht="57.6">
      <c r="A78" s="58" t="s">
        <v>121</v>
      </c>
      <c r="B78">
        <v>6300</v>
      </c>
      <c r="C78">
        <v>250</v>
      </c>
      <c r="D78">
        <v>24000</v>
      </c>
      <c r="E78">
        <v>7200</v>
      </c>
      <c r="F78">
        <v>1</v>
      </c>
      <c r="J78" s="61">
        <f t="shared" si="13"/>
        <v>3.968253968253968E-2</v>
      </c>
      <c r="K78" s="60">
        <f t="shared" si="14"/>
        <v>3.8095238095238093</v>
      </c>
      <c r="L78" s="60">
        <f t="shared" si="15"/>
        <v>1.1428571428571428</v>
      </c>
      <c r="M78">
        <f t="shared" si="16"/>
        <v>184</v>
      </c>
      <c r="N78">
        <f t="shared" si="17"/>
        <v>165</v>
      </c>
      <c r="O78">
        <f t="shared" si="18"/>
        <v>172</v>
      </c>
      <c r="P78">
        <f t="shared" si="19"/>
        <v>90</v>
      </c>
      <c r="Q78">
        <f t="shared" si="20"/>
        <v>86</v>
      </c>
      <c r="R78">
        <f t="shared" si="21"/>
        <v>85</v>
      </c>
      <c r="S78" s="61">
        <f t="shared" si="22"/>
        <v>130.33333333333334</v>
      </c>
      <c r="T78" s="59" t="str">
        <f>VLOOKUP(A78,Rīcibas_plans!$B$4:$D$234,3,FALSE)</f>
        <v>Sabiedriskā transporta pietura "Kalniņi" uz autoceļa P85 (Rīgas HES - Jaujelgava) pie zemes gabala "Ziedkalniņi", Daugmale</v>
      </c>
      <c r="U78" s="59" t="str">
        <f>VLOOKUP(A78,Rīcibas_plans!$B$5:$Q$234,14,FALSE)</f>
        <v>Veikt pieturas pārbūvi, veidojot  M tipa sabiedriskā transporta pieturu.</v>
      </c>
    </row>
    <row r="79" spans="1:21" ht="72">
      <c r="A79" s="58" t="s">
        <v>122</v>
      </c>
      <c r="C79">
        <v>2000</v>
      </c>
      <c r="D79">
        <v>24000</v>
      </c>
      <c r="E79">
        <v>24000</v>
      </c>
      <c r="F79">
        <v>7</v>
      </c>
      <c r="J79" s="61" t="str">
        <f t="shared" si="13"/>
        <v/>
      </c>
      <c r="K79" s="60" t="str">
        <f t="shared" si="14"/>
        <v/>
      </c>
      <c r="L79" s="60" t="str">
        <f t="shared" si="15"/>
        <v/>
      </c>
      <c r="M79">
        <f t="shared" si="16"/>
        <v>64</v>
      </c>
      <c r="N79">
        <f t="shared" si="17"/>
        <v>165</v>
      </c>
      <c r="O79">
        <f t="shared" si="18"/>
        <v>127</v>
      </c>
      <c r="P79" t="e">
        <f t="shared" si="19"/>
        <v>#VALUE!</v>
      </c>
      <c r="Q79" t="e">
        <f t="shared" si="20"/>
        <v>#VALUE!</v>
      </c>
      <c r="R79" t="e">
        <f t="shared" si="21"/>
        <v>#VALUE!</v>
      </c>
      <c r="S79" s="61" t="e">
        <f t="shared" si="22"/>
        <v>#VALUE!</v>
      </c>
      <c r="T79" s="59" t="str">
        <f>VLOOKUP(A79,Rīcibas_plans!$B$4:$D$234,3,FALSE)</f>
        <v>Daugmales pilskalns</v>
      </c>
      <c r="U79" s="59" t="str">
        <f>VLOOKUP(A79,Rīcibas_plans!$B$5:$Q$234,14,FALSE)</f>
        <v>Pieejamības uzlabošana  ierīkojot gājēju ceļu tīklu un  lietisķās atpūtas vietas (L tipa pie "ieejas zonas" un S tipa pārējā teritorijā)</v>
      </c>
    </row>
    <row r="80" spans="1:21" ht="43.15">
      <c r="A80" s="58" t="s">
        <v>123</v>
      </c>
      <c r="B80">
        <v>19355</v>
      </c>
      <c r="C80">
        <v>200</v>
      </c>
      <c r="D80">
        <v>19200</v>
      </c>
      <c r="E80">
        <v>5760</v>
      </c>
      <c r="F80">
        <v>1</v>
      </c>
      <c r="J80" s="61">
        <f t="shared" si="13"/>
        <v>1.0333247222939809E-2</v>
      </c>
      <c r="K80" s="60">
        <f t="shared" si="14"/>
        <v>0.99199173340222169</v>
      </c>
      <c r="L80" s="60">
        <f t="shared" si="15"/>
        <v>0.29759752002066647</v>
      </c>
      <c r="M80">
        <f t="shared" si="16"/>
        <v>186</v>
      </c>
      <c r="N80">
        <f t="shared" si="17"/>
        <v>180</v>
      </c>
      <c r="O80">
        <f t="shared" si="18"/>
        <v>184</v>
      </c>
      <c r="P80">
        <f t="shared" si="19"/>
        <v>120</v>
      </c>
      <c r="Q80">
        <f t="shared" si="20"/>
        <v>118</v>
      </c>
      <c r="R80">
        <f t="shared" si="21"/>
        <v>123</v>
      </c>
      <c r="S80" s="61">
        <f t="shared" si="22"/>
        <v>151.83333333333334</v>
      </c>
      <c r="T80" s="59" t="str">
        <f>VLOOKUP(A80,Rīcibas_plans!$B$4:$D$234,3,FALSE)</f>
        <v>Lietišķās atpūtas vietas gar P85 no Salaspils rotacijas apļa līdz Daugmalei</v>
      </c>
      <c r="U80" s="59" t="str">
        <f>VLOOKUP(A80,Rīcibas_plans!$B$5:$Q$234,14,FALSE)</f>
        <v>Papildināt P85 šosejas malas ar lietišķās atpūtas vietām (s tipa)</v>
      </c>
    </row>
    <row r="81" spans="1:21" ht="72">
      <c r="A81" s="58" t="s">
        <v>124</v>
      </c>
      <c r="B81">
        <v>6300</v>
      </c>
      <c r="C81">
        <v>2000</v>
      </c>
      <c r="D81">
        <v>24000</v>
      </c>
      <c r="E81">
        <v>7200</v>
      </c>
      <c r="F81">
        <v>7</v>
      </c>
      <c r="J81" s="61">
        <f t="shared" si="13"/>
        <v>0.31746031746031744</v>
      </c>
      <c r="K81" s="60">
        <f t="shared" si="14"/>
        <v>3.8095238095238093</v>
      </c>
      <c r="L81" s="60">
        <f t="shared" si="15"/>
        <v>1.1428571428571428</v>
      </c>
      <c r="M81">
        <f t="shared" si="16"/>
        <v>64</v>
      </c>
      <c r="N81">
        <f t="shared" si="17"/>
        <v>165</v>
      </c>
      <c r="O81">
        <f t="shared" si="18"/>
        <v>172</v>
      </c>
      <c r="P81">
        <f t="shared" si="19"/>
        <v>24</v>
      </c>
      <c r="Q81">
        <f t="shared" si="20"/>
        <v>86</v>
      </c>
      <c r="R81">
        <f t="shared" si="21"/>
        <v>85</v>
      </c>
      <c r="S81" s="61">
        <f t="shared" si="22"/>
        <v>99.333333333333329</v>
      </c>
      <c r="T81" s="59" t="str">
        <f>VLOOKUP(A81,Rīcibas_plans!$B$4:$D$234,3,FALSE)</f>
        <v>Daugmales pilskalns</v>
      </c>
      <c r="U81" s="59" t="str">
        <f>VLOOKUP(A81,Rīcibas_plans!$B$5:$Q$234,14,FALSE)</f>
        <v>Pieejamības uzlabošana  ierīkojot gājēju ceļu tīklu un  lietisķās atpūtas vietas (L tipa pie "ieejas zonas" un S tipa pārējā teritorijā)</v>
      </c>
    </row>
    <row r="82" spans="1:21" ht="28.9">
      <c r="A82" s="58" t="s">
        <v>125</v>
      </c>
      <c r="B82">
        <v>5530</v>
      </c>
      <c r="C82">
        <v>50</v>
      </c>
      <c r="D82">
        <v>4800</v>
      </c>
      <c r="E82">
        <v>1440</v>
      </c>
      <c r="F82">
        <v>1</v>
      </c>
      <c r="J82" s="61">
        <f t="shared" si="13"/>
        <v>9.0415913200723331E-3</v>
      </c>
      <c r="K82" s="60">
        <f t="shared" si="14"/>
        <v>0.86799276672694392</v>
      </c>
      <c r="L82" s="60">
        <f t="shared" si="15"/>
        <v>0.2603978300180832</v>
      </c>
      <c r="M82">
        <f t="shared" si="16"/>
        <v>215</v>
      </c>
      <c r="N82">
        <f t="shared" si="17"/>
        <v>207</v>
      </c>
      <c r="O82">
        <f t="shared" si="18"/>
        <v>205</v>
      </c>
      <c r="P82">
        <f t="shared" si="19"/>
        <v>125</v>
      </c>
      <c r="Q82">
        <f t="shared" si="20"/>
        <v>123</v>
      </c>
      <c r="R82">
        <f t="shared" si="21"/>
        <v>128</v>
      </c>
      <c r="S82" s="61">
        <f t="shared" si="22"/>
        <v>167.16666666666666</v>
      </c>
      <c r="T82" s="59" t="str">
        <f>VLOOKUP(A82,Rīcibas_plans!$B$4:$D$234,3,FALSE)</f>
        <v>Sabiedriskā transporta pietura "Nabiņas" uz autoceļa V9 (Iecava - Baldone - Daugmale)</v>
      </c>
      <c r="U82" s="59" t="str">
        <f>VLOOKUP(A82,Rīcibas_plans!$B$5:$Q$234,14,FALSE)</f>
        <v>Uzlabot pieturas labiekārtojumu.</v>
      </c>
    </row>
    <row r="83" spans="1:21" ht="28.9">
      <c r="A83" s="58" t="s">
        <v>126</v>
      </c>
      <c r="B83">
        <v>5530</v>
      </c>
      <c r="C83">
        <v>50</v>
      </c>
      <c r="D83">
        <v>4800</v>
      </c>
      <c r="E83">
        <v>1440</v>
      </c>
      <c r="F83">
        <v>1</v>
      </c>
      <c r="J83" s="61">
        <f t="shared" si="13"/>
        <v>9.0415913200723331E-3</v>
      </c>
      <c r="K83" s="60">
        <f t="shared" si="14"/>
        <v>0.86799276672694392</v>
      </c>
      <c r="L83" s="60">
        <f t="shared" si="15"/>
        <v>0.2603978300180832</v>
      </c>
      <c r="M83">
        <f t="shared" si="16"/>
        <v>215</v>
      </c>
      <c r="N83">
        <f t="shared" si="17"/>
        <v>207</v>
      </c>
      <c r="O83">
        <f t="shared" si="18"/>
        <v>205</v>
      </c>
      <c r="P83">
        <f t="shared" si="19"/>
        <v>125</v>
      </c>
      <c r="Q83">
        <f t="shared" si="20"/>
        <v>123</v>
      </c>
      <c r="R83">
        <f t="shared" si="21"/>
        <v>128</v>
      </c>
      <c r="S83" s="61">
        <f t="shared" si="22"/>
        <v>167.16666666666666</v>
      </c>
      <c r="T83" s="59" t="str">
        <f>VLOOKUP(A83,Rīcibas_plans!$B$4:$D$234,3,FALSE)</f>
        <v>Sabiedriskā transporta pietura "Celmi" uz autoceļa V9 (Iecava - Baldone - Daugmale)</v>
      </c>
      <c r="U83" s="59" t="str">
        <f>VLOOKUP(A83,Rīcibas_plans!$B$5:$Q$234,14,FALSE)</f>
        <v>Uzlabot pieturas labiekārtojumu.</v>
      </c>
    </row>
    <row r="84" spans="1:21" ht="28.9">
      <c r="A84" s="58" t="s">
        <v>127</v>
      </c>
      <c r="B84">
        <v>5530</v>
      </c>
      <c r="C84">
        <v>50</v>
      </c>
      <c r="D84">
        <v>4800</v>
      </c>
      <c r="E84">
        <v>1440</v>
      </c>
      <c r="F84">
        <v>1</v>
      </c>
      <c r="J84" s="61">
        <f t="shared" si="13"/>
        <v>9.0415913200723331E-3</v>
      </c>
      <c r="K84" s="60">
        <f t="shared" si="14"/>
        <v>0.86799276672694392</v>
      </c>
      <c r="L84" s="60">
        <f t="shared" si="15"/>
        <v>0.2603978300180832</v>
      </c>
      <c r="M84">
        <f t="shared" si="16"/>
        <v>215</v>
      </c>
      <c r="N84">
        <f t="shared" si="17"/>
        <v>207</v>
      </c>
      <c r="O84">
        <f t="shared" si="18"/>
        <v>205</v>
      </c>
      <c r="P84">
        <f t="shared" si="19"/>
        <v>125</v>
      </c>
      <c r="Q84">
        <f t="shared" si="20"/>
        <v>123</v>
      </c>
      <c r="R84">
        <f t="shared" si="21"/>
        <v>128</v>
      </c>
      <c r="S84" s="61">
        <f t="shared" si="22"/>
        <v>167.16666666666666</v>
      </c>
      <c r="T84" s="59" t="str">
        <f>VLOOKUP(A84,Rīcibas_plans!$B$4:$D$234,3,FALSE)</f>
        <v>Sabiedriskā transporta pietura "Ezeri" uz autoceļa V9 (Iecava - Baldone - Daugmale)</v>
      </c>
      <c r="U84" s="59" t="str">
        <f>VLOOKUP(A84,Rīcibas_plans!$B$5:$Q$234,14,FALSE)</f>
        <v>Uzlabot pieturas labiekārtojumu.</v>
      </c>
    </row>
    <row r="85" spans="1:21" ht="28.9">
      <c r="A85" s="58" t="s">
        <v>128</v>
      </c>
      <c r="B85">
        <v>6300</v>
      </c>
      <c r="C85">
        <v>200</v>
      </c>
      <c r="D85">
        <v>24000</v>
      </c>
      <c r="E85">
        <v>7200</v>
      </c>
      <c r="F85">
        <v>1</v>
      </c>
      <c r="J85" s="61">
        <f t="shared" si="13"/>
        <v>3.1746031746031744E-2</v>
      </c>
      <c r="K85" s="60">
        <f t="shared" si="14"/>
        <v>3.8095238095238093</v>
      </c>
      <c r="L85" s="60">
        <f t="shared" si="15"/>
        <v>1.1428571428571428</v>
      </c>
      <c r="M85">
        <f t="shared" si="16"/>
        <v>186</v>
      </c>
      <c r="N85">
        <f t="shared" si="17"/>
        <v>165</v>
      </c>
      <c r="O85">
        <f t="shared" si="18"/>
        <v>172</v>
      </c>
      <c r="P85">
        <f t="shared" si="19"/>
        <v>97</v>
      </c>
      <c r="Q85">
        <f t="shared" si="20"/>
        <v>86</v>
      </c>
      <c r="R85">
        <f t="shared" si="21"/>
        <v>85</v>
      </c>
      <c r="S85" s="61">
        <f t="shared" si="22"/>
        <v>131.83333333333334</v>
      </c>
      <c r="T85" s="59" t="str">
        <f>VLOOKUP(A85,Rīcibas_plans!$B$4:$D$234,3,FALSE)</f>
        <v>Sabiedriskā transporta pietura "Lejas ezers" uz autoceļa V9 (Iecava - Baldone - Daugmale)</v>
      </c>
      <c r="U85" s="59" t="str">
        <f>VLOOKUP(A85,Rīcibas_plans!$B$5:$Q$234,14,FALSE)</f>
        <v>Uzlabot pieturas labiekārtojumu.</v>
      </c>
    </row>
    <row r="86" spans="1:21" ht="43.15">
      <c r="A86" s="58" t="s">
        <v>129</v>
      </c>
      <c r="B86">
        <v>7160</v>
      </c>
      <c r="C86">
        <v>500</v>
      </c>
      <c r="D86">
        <v>36000</v>
      </c>
      <c r="E86">
        <v>36000</v>
      </c>
      <c r="F86">
        <v>7</v>
      </c>
      <c r="J86" s="61">
        <f t="shared" si="13"/>
        <v>6.9832402234636867E-2</v>
      </c>
      <c r="K86" s="60">
        <f t="shared" si="14"/>
        <v>5.027932960893855</v>
      </c>
      <c r="L86" s="60">
        <f t="shared" si="15"/>
        <v>5.027932960893855</v>
      </c>
      <c r="M86">
        <f t="shared" si="16"/>
        <v>149</v>
      </c>
      <c r="N86">
        <f t="shared" si="17"/>
        <v>155</v>
      </c>
      <c r="O86">
        <f t="shared" si="18"/>
        <v>99</v>
      </c>
      <c r="P86">
        <f t="shared" si="19"/>
        <v>61</v>
      </c>
      <c r="Q86">
        <f t="shared" si="20"/>
        <v>74</v>
      </c>
      <c r="R86">
        <f t="shared" si="21"/>
        <v>37</v>
      </c>
      <c r="S86" s="61">
        <f t="shared" si="22"/>
        <v>95.833333333333329</v>
      </c>
      <c r="T86" s="59" t="str">
        <f>VLOOKUP(A86,Rīcibas_plans!$B$4:$D$234,3,FALSE)</f>
        <v>Atpūtas vieta pie Rīgas HES dambja dienvidaustrumu pusē (HES apkalpes ceļa galā)</v>
      </c>
      <c r="U86" s="59">
        <f>VLOOKUP(A86,Rīcibas_plans!$B$5:$Q$234,14,FALSE)</f>
        <v>0</v>
      </c>
    </row>
    <row r="87" spans="1:21" ht="28.9">
      <c r="A87" s="58" t="s">
        <v>130</v>
      </c>
      <c r="B87">
        <v>20000</v>
      </c>
      <c r="C87">
        <v>800</v>
      </c>
      <c r="D87">
        <v>192000</v>
      </c>
      <c r="E87">
        <v>38400</v>
      </c>
      <c r="F87">
        <v>3</v>
      </c>
      <c r="J87" s="61">
        <f t="shared" si="13"/>
        <v>0.04</v>
      </c>
      <c r="K87" s="60">
        <f t="shared" si="14"/>
        <v>9.6</v>
      </c>
      <c r="L87" s="60">
        <f t="shared" si="15"/>
        <v>1.92</v>
      </c>
      <c r="M87">
        <f t="shared" si="16"/>
        <v>130</v>
      </c>
      <c r="N87">
        <f t="shared" si="17"/>
        <v>73</v>
      </c>
      <c r="O87">
        <f t="shared" si="18"/>
        <v>95</v>
      </c>
      <c r="P87">
        <f t="shared" si="19"/>
        <v>85</v>
      </c>
      <c r="Q87">
        <f t="shared" si="20"/>
        <v>56</v>
      </c>
      <c r="R87">
        <f t="shared" si="21"/>
        <v>65</v>
      </c>
      <c r="S87" s="61">
        <f t="shared" si="22"/>
        <v>84</v>
      </c>
      <c r="T87" s="59" t="str">
        <f>VLOOKUP(A87,Rīcibas_plans!$B$4:$D$234,3,FALSE)</f>
        <v>Mikromobilitātes punkts Daugmalē (vieta jāprecizē), stāvlaukums pie pieturas?</v>
      </c>
      <c r="U87" s="59" t="str">
        <f>VLOOKUP(A87,Rīcibas_plans!$B$5:$Q$234,14,FALSE)</f>
        <v>Mikromobilitātes punkta izveide</v>
      </c>
    </row>
    <row r="88" spans="1:21" ht="43.15">
      <c r="A88" s="58" t="s">
        <v>131</v>
      </c>
      <c r="B88">
        <v>10000</v>
      </c>
      <c r="C88">
        <v>500</v>
      </c>
      <c r="D88">
        <v>6000</v>
      </c>
      <c r="E88">
        <v>6000</v>
      </c>
      <c r="F88">
        <v>7</v>
      </c>
      <c r="J88" s="61">
        <f t="shared" si="13"/>
        <v>0.05</v>
      </c>
      <c r="K88" s="60">
        <f t="shared" si="14"/>
        <v>0.6</v>
      </c>
      <c r="L88" s="60">
        <f t="shared" si="15"/>
        <v>0.6</v>
      </c>
      <c r="M88">
        <f t="shared" si="16"/>
        <v>149</v>
      </c>
      <c r="N88">
        <f t="shared" si="17"/>
        <v>196</v>
      </c>
      <c r="O88">
        <f t="shared" si="18"/>
        <v>180</v>
      </c>
      <c r="P88">
        <f t="shared" si="19"/>
        <v>75</v>
      </c>
      <c r="Q88">
        <f t="shared" si="20"/>
        <v>135</v>
      </c>
      <c r="R88">
        <f t="shared" si="21"/>
        <v>106</v>
      </c>
      <c r="S88" s="61">
        <f t="shared" si="22"/>
        <v>140.16666666666666</v>
      </c>
      <c r="T88" s="59" t="str">
        <f>VLOOKUP(A88,Rīcibas_plans!$B$4:$D$234,3,FALSE)</f>
        <v xml:space="preserve">Laivošanas maršruts pa Daugavu apkārt Nāves salai  </v>
      </c>
      <c r="U88" s="59" t="str">
        <f>VLOOKUP(A88,Rīcibas_plans!$B$5:$Q$234,14,FALSE)</f>
        <v>Laivošanas maršruta izveide. Tīrīšana un uzturēšana</v>
      </c>
    </row>
    <row r="89" spans="1:21" ht="115.15">
      <c r="A89" s="58" t="s">
        <v>132</v>
      </c>
      <c r="B89">
        <v>800000</v>
      </c>
      <c r="C89">
        <v>2500</v>
      </c>
      <c r="D89">
        <v>60000</v>
      </c>
      <c r="E89">
        <v>90000</v>
      </c>
      <c r="F89">
        <v>7</v>
      </c>
      <c r="J89" s="61">
        <f t="shared" si="13"/>
        <v>3.1250000000000002E-3</v>
      </c>
      <c r="K89" s="60">
        <f t="shared" si="14"/>
        <v>7.4999999999999997E-2</v>
      </c>
      <c r="L89" s="60">
        <f t="shared" si="15"/>
        <v>0.1125</v>
      </c>
      <c r="M89">
        <f t="shared" si="16"/>
        <v>55</v>
      </c>
      <c r="N89">
        <f t="shared" si="17"/>
        <v>134</v>
      </c>
      <c r="O89">
        <f t="shared" si="18"/>
        <v>56</v>
      </c>
      <c r="P89">
        <f t="shared" si="19"/>
        <v>159</v>
      </c>
      <c r="Q89">
        <f t="shared" si="20"/>
        <v>179</v>
      </c>
      <c r="R89">
        <f t="shared" si="21"/>
        <v>154</v>
      </c>
      <c r="S89" s="61">
        <f t="shared" si="22"/>
        <v>122.83333333333333</v>
      </c>
      <c r="T89" s="59" t="str">
        <f>VLOOKUP(A89,Rīcibas_plans!$B$4:$D$234,3,FALSE)</f>
        <v>Pašvaldības īpašums "Vedmeri", Senču svētkalniņš. Vedmeru parks</v>
      </c>
      <c r="U89" s="59" t="str">
        <f>VLOOKUP(A89,Rīcibas_plans!$B$5:$Q$234,14,FALSE)</f>
        <v>Gājēju ceļu tīkls, gar ceļiem S tipa lietišķās atpūtas vietas, piknika vietas/skatu vietas (L tipa lietišķās atpūtas vieta). Nepieciešama pameža tīrīšana 10 m no gājēju ceļa ass.</v>
      </c>
    </row>
    <row r="90" spans="1:21" ht="100.9">
      <c r="A90" s="58" t="s">
        <v>133</v>
      </c>
      <c r="B90">
        <v>420000</v>
      </c>
      <c r="C90">
        <v>700</v>
      </c>
      <c r="D90">
        <v>84000</v>
      </c>
      <c r="E90">
        <v>84000</v>
      </c>
      <c r="F90">
        <v>1</v>
      </c>
      <c r="J90" s="61">
        <f t="shared" si="13"/>
        <v>1.6666666666666668E-3</v>
      </c>
      <c r="K90" s="60">
        <f t="shared" si="14"/>
        <v>0.2</v>
      </c>
      <c r="L90" s="60">
        <f t="shared" si="15"/>
        <v>0.2</v>
      </c>
      <c r="M90">
        <f t="shared" si="16"/>
        <v>134</v>
      </c>
      <c r="N90">
        <f t="shared" si="17"/>
        <v>128</v>
      </c>
      <c r="O90">
        <f t="shared" si="18"/>
        <v>63</v>
      </c>
      <c r="P90">
        <f t="shared" si="19"/>
        <v>176</v>
      </c>
      <c r="Q90">
        <f t="shared" si="20"/>
        <v>163</v>
      </c>
      <c r="R90">
        <f t="shared" si="21"/>
        <v>142</v>
      </c>
      <c r="S90" s="61">
        <f t="shared" si="22"/>
        <v>134.33333333333334</v>
      </c>
      <c r="T90" s="59" t="str">
        <f>VLOOKUP(A90,Rīcibas_plans!$B$4:$D$234,3,FALSE)</f>
        <v>Veloceļš Dzintari - Bēģļu ceļš</v>
      </c>
      <c r="U90" s="59" t="str">
        <f>VLOOKUP(A90,Rīcibas_plans!$B$5:$Q$234,14,FALSE)</f>
        <v>Nepieciešamība savienot Daugmales apkaimes infrastruktūru un nodrošināt drošu iedzīvotāju pārvietošanos pa reģionālās nozīmes autoceļu</v>
      </c>
    </row>
    <row r="91" spans="1:21" ht="100.9">
      <c r="A91" s="58" t="s">
        <v>134</v>
      </c>
      <c r="B91">
        <v>306600</v>
      </c>
      <c r="C91">
        <v>700</v>
      </c>
      <c r="D91">
        <v>84000</v>
      </c>
      <c r="E91">
        <v>84000</v>
      </c>
      <c r="F91">
        <v>7</v>
      </c>
      <c r="J91" s="61">
        <f t="shared" si="13"/>
        <v>2.2831050228310501E-3</v>
      </c>
      <c r="K91" s="60">
        <f t="shared" si="14"/>
        <v>0.27397260273972601</v>
      </c>
      <c r="L91" s="60">
        <f t="shared" si="15"/>
        <v>0.27397260273972601</v>
      </c>
      <c r="M91">
        <f t="shared" si="16"/>
        <v>134</v>
      </c>
      <c r="N91">
        <f t="shared" si="17"/>
        <v>128</v>
      </c>
      <c r="O91">
        <f t="shared" si="18"/>
        <v>63</v>
      </c>
      <c r="P91">
        <f t="shared" si="19"/>
        <v>168</v>
      </c>
      <c r="Q91">
        <f t="shared" si="20"/>
        <v>155</v>
      </c>
      <c r="R91">
        <f t="shared" si="21"/>
        <v>125</v>
      </c>
      <c r="S91" s="61">
        <f t="shared" si="22"/>
        <v>128.83333333333334</v>
      </c>
      <c r="T91" s="59" t="str">
        <f>VLOOKUP(A91,Rīcibas_plans!$B$4:$D$234,3,FALSE)</f>
        <v>Potenciālās gājēju takas gar Daugavu Ķekava - Bērzmente pagarināšana līdz Daugmalei, atpūtas vietai pie ūdens pretī Nāvessalai (Ķīķerītis)</v>
      </c>
      <c r="U91" s="59" t="str">
        <f>VLOOKUP(A91,Rīcibas_plans!$B$5:$Q$234,14,FALSE)</f>
        <v>Nepieciešams izveidot aktīvās atpūtas infrastruktūru gar Daugavu, kas veicinātu iedzīvotāju veselību un tūrisma attīstību. Veidot risinājumu saistībā ar RailBaltic izveidi</v>
      </c>
    </row>
    <row r="92" spans="1:21" ht="43.15">
      <c r="A92" s="58" t="s">
        <v>135</v>
      </c>
      <c r="B92">
        <v>7160</v>
      </c>
      <c r="C92">
        <v>600</v>
      </c>
      <c r="D92">
        <v>28800</v>
      </c>
      <c r="E92">
        <v>28800</v>
      </c>
      <c r="F92">
        <v>7</v>
      </c>
      <c r="J92" s="61">
        <f t="shared" si="13"/>
        <v>8.3798882681564241E-2</v>
      </c>
      <c r="K92" s="60">
        <f t="shared" si="14"/>
        <v>4.022346368715084</v>
      </c>
      <c r="L92" s="60">
        <f t="shared" si="15"/>
        <v>4.022346368715084</v>
      </c>
      <c r="M92">
        <f t="shared" si="16"/>
        <v>140</v>
      </c>
      <c r="N92">
        <f t="shared" si="17"/>
        <v>163</v>
      </c>
      <c r="O92">
        <f t="shared" si="18"/>
        <v>119</v>
      </c>
      <c r="P92">
        <f t="shared" si="19"/>
        <v>58</v>
      </c>
      <c r="Q92">
        <f t="shared" si="20"/>
        <v>82</v>
      </c>
      <c r="R92">
        <f t="shared" si="21"/>
        <v>44</v>
      </c>
      <c r="S92" s="61">
        <f t="shared" si="22"/>
        <v>101</v>
      </c>
      <c r="T92" s="59" t="str">
        <f>VLOOKUP(A92,Rīcibas_plans!$B$4:$D$234,3,FALSE)</f>
        <v xml:space="preserve">Potenciālas atpūtas vietas pie pludmales "Pie Bēgļu ceļa" izveide (kad. nr. 80560020435) </v>
      </c>
      <c r="U92" s="59" t="str">
        <f>VLOOKUP(A92,Rīcibas_plans!$B$5:$Q$234,14,FALSE)</f>
        <v>Ķikutu atpūtas vietas pie ūdens  ierīkošana un uzturēšana</v>
      </c>
    </row>
    <row r="93" spans="1:21" ht="72">
      <c r="A93" s="58" t="s">
        <v>136</v>
      </c>
      <c r="B93">
        <v>7160</v>
      </c>
      <c r="C93">
        <v>600</v>
      </c>
      <c r="D93">
        <v>28800</v>
      </c>
      <c r="E93">
        <v>28800</v>
      </c>
      <c r="F93">
        <v>3</v>
      </c>
      <c r="J93" s="61">
        <f t="shared" si="13"/>
        <v>8.3798882681564241E-2</v>
      </c>
      <c r="K93" s="60">
        <f t="shared" si="14"/>
        <v>4.022346368715084</v>
      </c>
      <c r="L93" s="60">
        <f t="shared" si="15"/>
        <v>4.022346368715084</v>
      </c>
      <c r="M93">
        <f t="shared" si="16"/>
        <v>140</v>
      </c>
      <c r="N93">
        <f t="shared" si="17"/>
        <v>163</v>
      </c>
      <c r="O93">
        <f t="shared" si="18"/>
        <v>119</v>
      </c>
      <c r="P93">
        <f t="shared" si="19"/>
        <v>58</v>
      </c>
      <c r="Q93">
        <f t="shared" si="20"/>
        <v>82</v>
      </c>
      <c r="R93">
        <f t="shared" si="21"/>
        <v>44</v>
      </c>
      <c r="S93" s="61">
        <f t="shared" si="22"/>
        <v>101</v>
      </c>
      <c r="T93" s="59" t="str">
        <f>VLOOKUP(A93,Rīcibas_plans!$B$4:$D$234,3,FALSE)</f>
        <v>Potenciālas atpūtas vietas  "Dolomīta dīķi" izveide (kad.nr.80560020332)</v>
      </c>
      <c r="U93" s="59" t="str">
        <f>VLOOKUP(A93,Rīcibas_plans!$B$5:$Q$234,14,FALSE)</f>
        <v>Alternatīva atpūtas vieta pie ūdens ar labas kvalitātes ūdeni, draudzīgākas peldēšanas iespējas bērniem.</v>
      </c>
    </row>
    <row r="94" spans="1:21" ht="86.45">
      <c r="A94" s="58" t="s">
        <v>137</v>
      </c>
      <c r="B94">
        <v>30325</v>
      </c>
      <c r="C94">
        <v>100</v>
      </c>
      <c r="D94">
        <v>9600</v>
      </c>
      <c r="E94">
        <v>4800</v>
      </c>
      <c r="F94">
        <v>2</v>
      </c>
      <c r="J94" s="61">
        <f t="shared" si="13"/>
        <v>3.2976092333058533E-3</v>
      </c>
      <c r="K94" s="60">
        <f t="shared" si="14"/>
        <v>0.31657048639736191</v>
      </c>
      <c r="L94" s="60">
        <f t="shared" si="15"/>
        <v>0.15828524319868095</v>
      </c>
      <c r="M94">
        <f t="shared" si="16"/>
        <v>206</v>
      </c>
      <c r="N94">
        <f t="shared" si="17"/>
        <v>191</v>
      </c>
      <c r="O94">
        <f t="shared" si="18"/>
        <v>189</v>
      </c>
      <c r="P94">
        <f t="shared" si="19"/>
        <v>158</v>
      </c>
      <c r="Q94">
        <f t="shared" si="20"/>
        <v>153</v>
      </c>
      <c r="R94">
        <f t="shared" si="21"/>
        <v>144</v>
      </c>
      <c r="S94" s="61">
        <f t="shared" si="22"/>
        <v>173.5</v>
      </c>
      <c r="T94" s="59" t="str">
        <f>VLOOKUP(A94,Rīcibas_plans!$B$4:$D$234,3,FALSE)</f>
        <v>L tipa Bērnu rotaļu laukums pie Daugmales Multifunkcionālā centra (kad.nr 80560020583)</v>
      </c>
      <c r="U94" s="59" t="str">
        <f>VLOOKUP(A94,Rīcibas_plans!$B$5:$Q$234,14,FALSE)</f>
        <v xml:space="preserve">Nepieciešams moderns bērnu rotaļu laukums, ar kura palīdzību aizsākt aktīvās atpūtas parka veidošanu pie Daugmales Multifunkcionālā centra. </v>
      </c>
    </row>
    <row r="95" spans="1:21" ht="57.6">
      <c r="A95" s="58" t="s">
        <v>138</v>
      </c>
      <c r="B95">
        <v>45100</v>
      </c>
      <c r="C95">
        <v>150</v>
      </c>
      <c r="D95">
        <v>14400</v>
      </c>
      <c r="E95">
        <v>14400</v>
      </c>
      <c r="F95">
        <v>3</v>
      </c>
      <c r="J95" s="61">
        <f t="shared" si="13"/>
        <v>3.3259423503325942E-3</v>
      </c>
      <c r="K95" s="60">
        <f t="shared" si="14"/>
        <v>0.31929046563192903</v>
      </c>
      <c r="L95" s="60">
        <f t="shared" si="15"/>
        <v>0.31929046563192903</v>
      </c>
      <c r="M95">
        <f t="shared" si="16"/>
        <v>202</v>
      </c>
      <c r="N95">
        <f t="shared" si="17"/>
        <v>187</v>
      </c>
      <c r="O95">
        <f t="shared" si="18"/>
        <v>147</v>
      </c>
      <c r="P95">
        <f t="shared" si="19"/>
        <v>156</v>
      </c>
      <c r="Q95">
        <f t="shared" si="20"/>
        <v>152</v>
      </c>
      <c r="R95">
        <f t="shared" si="21"/>
        <v>120</v>
      </c>
      <c r="S95" s="61">
        <f t="shared" si="22"/>
        <v>160.66666666666666</v>
      </c>
      <c r="T95" s="59" t="str">
        <f>VLOOKUP(A95,Rīcibas_plans!$B$4:$D$234,3,FALSE)</f>
        <v>Bērnu sportisko aktivitāšu laukums (piemēram Pumptrack)  pie Daugmales multifunkcionālā centra (kad.Nr. 80560020583)</v>
      </c>
      <c r="U95" s="59" t="str">
        <f>VLOOKUP(A95,Rīcibas_plans!$B$5:$Q$234,14,FALSE)</f>
        <v>Jauniešu sportisko aktivitāšu laukuma izveide</v>
      </c>
    </row>
    <row r="96" spans="1:21" ht="43.15">
      <c r="A96" s="58" t="s">
        <v>139</v>
      </c>
      <c r="B96">
        <v>500000</v>
      </c>
      <c r="C96">
        <v>200</v>
      </c>
      <c r="D96">
        <v>19200</v>
      </c>
      <c r="E96">
        <v>19200</v>
      </c>
      <c r="F96">
        <v>7</v>
      </c>
      <c r="J96" s="61">
        <f t="shared" si="13"/>
        <v>4.0000000000000002E-4</v>
      </c>
      <c r="K96" s="60">
        <f t="shared" si="14"/>
        <v>3.8399999999999997E-2</v>
      </c>
      <c r="L96" s="60">
        <f t="shared" si="15"/>
        <v>3.8399999999999997E-2</v>
      </c>
      <c r="M96">
        <f t="shared" si="16"/>
        <v>186</v>
      </c>
      <c r="N96">
        <f t="shared" si="17"/>
        <v>180</v>
      </c>
      <c r="O96">
        <f t="shared" si="18"/>
        <v>132</v>
      </c>
      <c r="P96">
        <f t="shared" si="19"/>
        <v>193</v>
      </c>
      <c r="Q96">
        <f t="shared" si="20"/>
        <v>186</v>
      </c>
      <c r="R96">
        <f t="shared" si="21"/>
        <v>177</v>
      </c>
      <c r="S96" s="61">
        <f t="shared" si="22"/>
        <v>175.66666666666666</v>
      </c>
      <c r="T96" s="59" t="str">
        <f>VLOOKUP(A96,Rīcibas_plans!$B$4:$D$234,3,FALSE)</f>
        <v>Aktīvās atpūtas parka izveide pie Daugmales multifunkcionālā centra (kad.nr 80560020583)</v>
      </c>
      <c r="U96" s="59" t="str">
        <f>VLOOKUP(A96,Rīcibas_plans!$B$5:$Q$234,14,FALSE)</f>
        <v xml:space="preserve">Izveidot parku, kurā iespējams gan estētiski, gan aktīvi atpūsties. </v>
      </c>
    </row>
    <row r="97" spans="1:21" ht="72">
      <c r="A97" s="58" t="s">
        <v>140</v>
      </c>
      <c r="B97">
        <v>50</v>
      </c>
      <c r="C97">
        <v>400</v>
      </c>
      <c r="D97">
        <v>72000</v>
      </c>
      <c r="E97">
        <v>72000</v>
      </c>
      <c r="F97">
        <v>1</v>
      </c>
      <c r="J97" s="61">
        <f t="shared" si="13"/>
        <v>8</v>
      </c>
      <c r="K97" s="60">
        <f t="shared" si="14"/>
        <v>1440</v>
      </c>
      <c r="L97" s="60">
        <f t="shared" si="15"/>
        <v>1440</v>
      </c>
      <c r="M97">
        <f t="shared" si="16"/>
        <v>173</v>
      </c>
      <c r="N97">
        <f t="shared" si="17"/>
        <v>130</v>
      </c>
      <c r="O97">
        <f t="shared" si="18"/>
        <v>65</v>
      </c>
      <c r="P97">
        <f t="shared" si="19"/>
        <v>6</v>
      </c>
      <c r="Q97">
        <f t="shared" si="20"/>
        <v>5</v>
      </c>
      <c r="R97">
        <f t="shared" si="21"/>
        <v>2</v>
      </c>
      <c r="S97" s="61">
        <f t="shared" si="22"/>
        <v>63.5</v>
      </c>
      <c r="T97" s="59" t="str">
        <f>VLOOKUP(A97,Rīcibas_plans!$B$4:$D$234,3,FALSE)</f>
        <v>Daugmales pamatskolas sporta laukums (kad.nr.80560020269)</v>
      </c>
      <c r="U97" s="59" t="str">
        <f>VLOOKUP(A97,Rīcibas_plans!$B$5:$Q$234,14,FALSE)</f>
        <v xml:space="preserve"> Daugmales sporta laukuma izbūve. Disciplīnas - skriešanas celiņš, vieglatlētikas disciplīnas elementi.</v>
      </c>
    </row>
    <row r="98" spans="1:21" ht="57.6">
      <c r="A98" s="58" t="s">
        <v>141</v>
      </c>
      <c r="B98">
        <v>6890</v>
      </c>
      <c r="C98">
        <v>50</v>
      </c>
      <c r="D98">
        <v>4800</v>
      </c>
      <c r="E98">
        <v>1440</v>
      </c>
      <c r="F98">
        <v>1</v>
      </c>
      <c r="J98" s="61">
        <f t="shared" si="13"/>
        <v>7.2568940493468797E-3</v>
      </c>
      <c r="K98" s="60">
        <f t="shared" si="14"/>
        <v>0.69666182873730043</v>
      </c>
      <c r="L98" s="60">
        <f t="shared" si="15"/>
        <v>0.20899854862119013</v>
      </c>
      <c r="M98">
        <f t="shared" si="16"/>
        <v>215</v>
      </c>
      <c r="N98">
        <f t="shared" si="17"/>
        <v>207</v>
      </c>
      <c r="O98">
        <f t="shared" si="18"/>
        <v>205</v>
      </c>
      <c r="P98">
        <f t="shared" si="19"/>
        <v>134</v>
      </c>
      <c r="Q98">
        <f t="shared" si="20"/>
        <v>130</v>
      </c>
      <c r="R98">
        <f t="shared" si="21"/>
        <v>139</v>
      </c>
      <c r="S98" s="61">
        <f t="shared" si="22"/>
        <v>171.66666666666666</v>
      </c>
      <c r="T98" s="59" t="str">
        <f>VLOOKUP(A98,Rīcibas_plans!$B$4:$D$234,3,FALSE)</f>
        <v>Sabiedriskā transporta pieturas abos virzienos "Dzintari" uz autoceļa P85 (Rīgas HES - Jaunjelgava)</v>
      </c>
      <c r="U98" s="59" t="str">
        <f>VLOOKUP(A98,Rīcibas_plans!$B$5:$Q$234,14,FALSE)</f>
        <v>Veikt pieturas pārbūvi, veidojot  M tipa sabiedriskā transporta pieturu.</v>
      </c>
    </row>
    <row r="99" spans="1:21" ht="57.6">
      <c r="A99" s="58" t="s">
        <v>142</v>
      </c>
      <c r="B99">
        <v>6890</v>
      </c>
      <c r="C99">
        <v>50</v>
      </c>
      <c r="D99">
        <v>4800</v>
      </c>
      <c r="E99">
        <v>1440</v>
      </c>
      <c r="F99">
        <v>1</v>
      </c>
      <c r="J99" s="61">
        <f t="shared" si="13"/>
        <v>7.2568940493468797E-3</v>
      </c>
      <c r="K99" s="60">
        <f t="shared" si="14"/>
        <v>0.69666182873730043</v>
      </c>
      <c r="L99" s="60">
        <f t="shared" si="15"/>
        <v>0.20899854862119013</v>
      </c>
      <c r="M99">
        <f t="shared" si="16"/>
        <v>215</v>
      </c>
      <c r="N99">
        <f t="shared" si="17"/>
        <v>207</v>
      </c>
      <c r="O99">
        <f t="shared" si="18"/>
        <v>205</v>
      </c>
      <c r="P99">
        <f t="shared" si="19"/>
        <v>134</v>
      </c>
      <c r="Q99">
        <f t="shared" si="20"/>
        <v>130</v>
      </c>
      <c r="R99">
        <f t="shared" si="21"/>
        <v>139</v>
      </c>
      <c r="S99" s="61">
        <f t="shared" si="22"/>
        <v>171.66666666666666</v>
      </c>
      <c r="T99" s="59" t="str">
        <f>VLOOKUP(A99,Rīcibas_plans!$B$4:$D$234,3,FALSE)</f>
        <v>Sabiedriskā transporta pieturas abos virzienos "Bramberģe"  uz autoceļa P85 (Rīgas HES - Jaunjelgava)</v>
      </c>
      <c r="U99" s="59" t="str">
        <f>VLOOKUP(A99,Rīcibas_plans!$B$5:$Q$234,14,FALSE)</f>
        <v>Veikt pieturas pārbūvi, veidojot  M tipa sabiedriskā transporta pieturu.</v>
      </c>
    </row>
    <row r="100" spans="1:21" ht="57.6">
      <c r="A100" s="58" t="s">
        <v>143</v>
      </c>
      <c r="B100">
        <v>6890</v>
      </c>
      <c r="C100">
        <v>50</v>
      </c>
      <c r="D100">
        <v>4800</v>
      </c>
      <c r="E100">
        <v>1440</v>
      </c>
      <c r="F100">
        <v>1</v>
      </c>
      <c r="J100" s="61">
        <f t="shared" si="13"/>
        <v>7.2568940493468797E-3</v>
      </c>
      <c r="K100" s="60">
        <f t="shared" si="14"/>
        <v>0.69666182873730043</v>
      </c>
      <c r="L100" s="60">
        <f t="shared" si="15"/>
        <v>0.20899854862119013</v>
      </c>
      <c r="M100">
        <f t="shared" si="16"/>
        <v>215</v>
      </c>
      <c r="N100">
        <f t="shared" si="17"/>
        <v>207</v>
      </c>
      <c r="O100">
        <f t="shared" si="18"/>
        <v>205</v>
      </c>
      <c r="P100">
        <f t="shared" si="19"/>
        <v>134</v>
      </c>
      <c r="Q100">
        <f t="shared" si="20"/>
        <v>130</v>
      </c>
      <c r="R100">
        <f t="shared" si="21"/>
        <v>139</v>
      </c>
      <c r="S100" s="61">
        <f t="shared" si="22"/>
        <v>171.66666666666666</v>
      </c>
      <c r="T100" s="59" t="str">
        <f>VLOOKUP(A100,Rīcibas_plans!$B$4:$D$234,3,FALSE)</f>
        <v>Sabiedriskā transporta pieturas abos virzienos "Birzītes" uz autoceļa P85 (Rīgas HES - Jaunjelgava)</v>
      </c>
      <c r="U100" s="59" t="str">
        <f>VLOOKUP(A100,Rīcibas_plans!$B$5:$Q$234,14,FALSE)</f>
        <v>Veikt pieturas pārbūvi, veidojot  M tipa sabiedriskā transporta pieturu.</v>
      </c>
    </row>
    <row r="101" spans="1:21" ht="43.15">
      <c r="A101" s="58" t="s">
        <v>144</v>
      </c>
      <c r="B101">
        <v>6890</v>
      </c>
      <c r="C101">
        <v>200</v>
      </c>
      <c r="D101">
        <v>19200</v>
      </c>
      <c r="E101">
        <v>5760</v>
      </c>
      <c r="F101">
        <v>1</v>
      </c>
      <c r="J101" s="61">
        <f t="shared" si="13"/>
        <v>2.9027576197387519E-2</v>
      </c>
      <c r="K101" s="60">
        <f t="shared" si="14"/>
        <v>2.7866473149492017</v>
      </c>
      <c r="L101" s="60">
        <f t="shared" si="15"/>
        <v>0.83599419448476053</v>
      </c>
      <c r="M101">
        <f t="shared" si="16"/>
        <v>186</v>
      </c>
      <c r="N101">
        <f t="shared" si="17"/>
        <v>180</v>
      </c>
      <c r="O101">
        <f t="shared" si="18"/>
        <v>184</v>
      </c>
      <c r="P101">
        <f t="shared" si="19"/>
        <v>101</v>
      </c>
      <c r="Q101">
        <f t="shared" si="20"/>
        <v>94</v>
      </c>
      <c r="R101">
        <f t="shared" si="21"/>
        <v>99</v>
      </c>
      <c r="S101" s="61">
        <f t="shared" si="22"/>
        <v>140.66666666666666</v>
      </c>
      <c r="T101" s="59" t="str">
        <f>VLOOKUP(A101,Rīcibas_plans!$B$4:$D$234,3,FALSE)</f>
        <v>Sabiedriskā transporta pietura "Skola" Rīgas virziens uz autoceļa P85 (Rīgas HES - Jaunjelgava)</v>
      </c>
      <c r="U101" s="59" t="str">
        <f>VLOOKUP(A101,Rīcibas_plans!$B$5:$Q$234,14,FALSE)</f>
        <v>M tipa pietura Rīgas virzienā ir izveidota</v>
      </c>
    </row>
    <row r="102" spans="1:21" ht="129.6">
      <c r="A102" s="58" t="s">
        <v>145</v>
      </c>
      <c r="B102">
        <v>200000</v>
      </c>
      <c r="C102">
        <v>2500</v>
      </c>
      <c r="D102">
        <v>90000</v>
      </c>
      <c r="E102">
        <v>135000</v>
      </c>
      <c r="F102">
        <v>3</v>
      </c>
      <c r="J102" s="61">
        <f t="shared" si="13"/>
        <v>1.2500000000000001E-2</v>
      </c>
      <c r="K102" s="60">
        <f t="shared" si="14"/>
        <v>0.45</v>
      </c>
      <c r="L102" s="60">
        <f t="shared" si="15"/>
        <v>0.67500000000000004</v>
      </c>
      <c r="M102">
        <f t="shared" si="16"/>
        <v>55</v>
      </c>
      <c r="N102">
        <f t="shared" si="17"/>
        <v>121</v>
      </c>
      <c r="O102">
        <f t="shared" si="18"/>
        <v>39</v>
      </c>
      <c r="P102">
        <f t="shared" si="19"/>
        <v>115</v>
      </c>
      <c r="Q102">
        <f t="shared" si="20"/>
        <v>145</v>
      </c>
      <c r="R102">
        <f t="shared" si="21"/>
        <v>104</v>
      </c>
      <c r="S102" s="61">
        <f t="shared" si="22"/>
        <v>96.5</v>
      </c>
      <c r="T102" s="59" t="str">
        <f>VLOOKUP(A102,Rīcibas_plans!$B$4:$D$234,3,FALSE)</f>
        <v>Atpūtas vieta pie ūdens pretī Nāvessalai (Ķīķerītis)</v>
      </c>
      <c r="U102" s="59" t="str">
        <f>VLOOKUP(A102,Rīcibas_plans!$B$5:$Q$234,14,FALSE)</f>
        <v>Pieejamības uzlabošana savienojot to ar citām rekreācijas teritorijām, lietišķās atpūtas vietas labiekārtojuma papildināšana (L tipa), informatīvas zīmes par Nāves salas vēsturisko nozīmi</v>
      </c>
    </row>
    <row r="103" spans="1:21" ht="43.15">
      <c r="A103" s="58" t="s">
        <v>146</v>
      </c>
      <c r="B103">
        <v>4295</v>
      </c>
      <c r="C103">
        <v>200</v>
      </c>
      <c r="D103">
        <v>19200</v>
      </c>
      <c r="E103">
        <v>5760</v>
      </c>
      <c r="F103">
        <v>1</v>
      </c>
      <c r="J103" s="61">
        <f t="shared" si="13"/>
        <v>4.6565774155995346E-2</v>
      </c>
      <c r="K103" s="60">
        <f t="shared" si="14"/>
        <v>4.4703143189755528</v>
      </c>
      <c r="L103" s="60">
        <f t="shared" si="15"/>
        <v>1.3410942956926659</v>
      </c>
      <c r="M103">
        <f t="shared" si="16"/>
        <v>186</v>
      </c>
      <c r="N103">
        <f t="shared" si="17"/>
        <v>180</v>
      </c>
      <c r="O103">
        <f t="shared" si="18"/>
        <v>184</v>
      </c>
      <c r="P103">
        <f t="shared" si="19"/>
        <v>80</v>
      </c>
      <c r="Q103">
        <f t="shared" si="20"/>
        <v>77</v>
      </c>
      <c r="R103">
        <f t="shared" si="21"/>
        <v>79</v>
      </c>
      <c r="S103" s="61">
        <f t="shared" si="22"/>
        <v>131</v>
      </c>
      <c r="T103" s="59" t="str">
        <f>VLOOKUP(A103,Rīcibas_plans!$B$4:$D$234,3,FALSE)</f>
        <v>Sabiedriskā transporta pietura "Skola" Kalniņu virziens uz autoceļa P85 (Rīgas HES - Jaunjelgava)</v>
      </c>
      <c r="U103" s="59" t="str">
        <f>VLOOKUP(A103,Rīcibas_plans!$B$5:$Q$234,14,FALSE)</f>
        <v xml:space="preserve">S tipa pieturvieta </v>
      </c>
    </row>
    <row r="104" spans="1:21" ht="28.9">
      <c r="A104" s="58" t="s">
        <v>147</v>
      </c>
      <c r="B104">
        <v>15000</v>
      </c>
      <c r="C104">
        <v>1000</v>
      </c>
      <c r="D104">
        <v>36000</v>
      </c>
      <c r="E104">
        <v>54000</v>
      </c>
      <c r="F104">
        <v>2</v>
      </c>
      <c r="J104" s="61">
        <f t="shared" si="13"/>
        <v>6.6666666666666666E-2</v>
      </c>
      <c r="K104" s="60">
        <f t="shared" si="14"/>
        <v>2.4</v>
      </c>
      <c r="L104" s="60">
        <f t="shared" si="15"/>
        <v>3.6</v>
      </c>
      <c r="M104">
        <f t="shared" si="16"/>
        <v>93</v>
      </c>
      <c r="N104">
        <f t="shared" si="17"/>
        <v>155</v>
      </c>
      <c r="O104">
        <f t="shared" si="18"/>
        <v>76</v>
      </c>
      <c r="P104">
        <f t="shared" si="19"/>
        <v>64</v>
      </c>
      <c r="Q104">
        <f t="shared" si="20"/>
        <v>98</v>
      </c>
      <c r="R104">
        <f t="shared" si="21"/>
        <v>47</v>
      </c>
      <c r="S104" s="61">
        <f t="shared" si="22"/>
        <v>88.833333333333329</v>
      </c>
      <c r="T104" s="59" t="str">
        <f>VLOOKUP(A104,Rīcibas_plans!$B$4:$D$234,3,FALSE)</f>
        <v>Atpūtas vieta pie ūdens pretī Nāvessalai (Ķīķerītis)</v>
      </c>
      <c r="U104" s="59" t="str">
        <f>VLOOKUP(A104,Rīcibas_plans!$B$5:$Q$234,14,FALSE)</f>
        <v>Laivu piestātnes izbūve Nāvessalas ceļa galā</v>
      </c>
    </row>
    <row r="105" spans="1:21" ht="72">
      <c r="A105" s="58" t="s">
        <v>148</v>
      </c>
      <c r="B105">
        <v>84000</v>
      </c>
      <c r="C105">
        <v>200</v>
      </c>
      <c r="D105">
        <v>24000</v>
      </c>
      <c r="E105">
        <v>12000</v>
      </c>
      <c r="F105">
        <v>7</v>
      </c>
      <c r="J105" s="61">
        <f t="shared" si="13"/>
        <v>2.3809523809523812E-3</v>
      </c>
      <c r="K105" s="60">
        <f t="shared" si="14"/>
        <v>0.2857142857142857</v>
      </c>
      <c r="L105" s="60">
        <f t="shared" si="15"/>
        <v>0.14285714285714285</v>
      </c>
      <c r="M105">
        <f t="shared" si="16"/>
        <v>186</v>
      </c>
      <c r="N105">
        <f t="shared" si="17"/>
        <v>165</v>
      </c>
      <c r="O105">
        <f t="shared" si="18"/>
        <v>155</v>
      </c>
      <c r="P105">
        <f t="shared" si="19"/>
        <v>167</v>
      </c>
      <c r="Q105">
        <f t="shared" si="20"/>
        <v>154</v>
      </c>
      <c r="R105">
        <f t="shared" si="21"/>
        <v>147</v>
      </c>
      <c r="S105" s="61">
        <f t="shared" si="22"/>
        <v>162.33333333333334</v>
      </c>
      <c r="T105" s="59" t="str">
        <f>VLOOKUP(A105,Rīcibas_plans!$B$4:$D$234,3,FALSE)</f>
        <v>Gājēju ietves izbūve - Pikstu ceļš</v>
      </c>
      <c r="U105" s="59" t="str">
        <f>VLOOKUP(A105,Rīcibas_plans!$B$5:$Q$234,14,FALSE)</f>
        <v>Infrastruktūras attīstība - augsta gājēju intensitāte visās sezonās, jo iedzīvotāji šo izmanto kā garāku pastaigu ceļu.</v>
      </c>
    </row>
    <row r="106" spans="1:21" ht="72">
      <c r="A106" s="58" t="s">
        <v>149</v>
      </c>
      <c r="B106">
        <v>126000</v>
      </c>
      <c r="C106">
        <v>200</v>
      </c>
      <c r="D106">
        <v>24000</v>
      </c>
      <c r="E106">
        <v>12000</v>
      </c>
      <c r="F106">
        <v>7</v>
      </c>
      <c r="J106" s="61">
        <f t="shared" si="13"/>
        <v>1.5873015873015873E-3</v>
      </c>
      <c r="K106" s="60">
        <f t="shared" si="14"/>
        <v>0.19047619047619047</v>
      </c>
      <c r="L106" s="60">
        <f t="shared" si="15"/>
        <v>9.5238095238095233E-2</v>
      </c>
      <c r="M106">
        <f t="shared" si="16"/>
        <v>186</v>
      </c>
      <c r="N106">
        <f t="shared" si="17"/>
        <v>165</v>
      </c>
      <c r="O106">
        <f t="shared" si="18"/>
        <v>155</v>
      </c>
      <c r="P106">
        <f t="shared" si="19"/>
        <v>178</v>
      </c>
      <c r="Q106">
        <f t="shared" si="20"/>
        <v>165</v>
      </c>
      <c r="R106">
        <f t="shared" si="21"/>
        <v>161</v>
      </c>
      <c r="S106" s="61">
        <f t="shared" si="22"/>
        <v>168.33333333333334</v>
      </c>
      <c r="T106" s="59" t="str">
        <f>VLOOKUP(A106,Rīcibas_plans!$B$4:$D$234,3,FALSE)</f>
        <v>Gājēju ietves izbūve - Kompleksa  ceļš</v>
      </c>
      <c r="U106" s="59" t="str">
        <f>VLOOKUP(A106,Rīcibas_plans!$B$5:$Q$234,14,FALSE)</f>
        <v>Infrastruktūras attīstība - augsta gājēju intensitāte visās sezonās, jo iedzīvotāji šo izmanto kā garāku pastaigu ceļu.</v>
      </c>
    </row>
    <row r="107" spans="1:21" ht="57.6">
      <c r="A107" s="58" t="s">
        <v>150</v>
      </c>
      <c r="B107">
        <v>7160</v>
      </c>
      <c r="C107">
        <v>500</v>
      </c>
      <c r="D107">
        <v>30000</v>
      </c>
      <c r="E107">
        <v>30000</v>
      </c>
      <c r="F107">
        <v>2</v>
      </c>
      <c r="J107" s="61">
        <f t="shared" si="13"/>
        <v>6.9832402234636867E-2</v>
      </c>
      <c r="K107" s="60">
        <f t="shared" si="14"/>
        <v>4.1899441340782122</v>
      </c>
      <c r="L107" s="60">
        <f t="shared" si="15"/>
        <v>4.1899441340782122</v>
      </c>
      <c r="M107">
        <f t="shared" si="16"/>
        <v>149</v>
      </c>
      <c r="N107">
        <f t="shared" si="17"/>
        <v>162</v>
      </c>
      <c r="O107">
        <f t="shared" si="18"/>
        <v>107</v>
      </c>
      <c r="P107">
        <f t="shared" si="19"/>
        <v>61</v>
      </c>
      <c r="Q107">
        <f t="shared" si="20"/>
        <v>81</v>
      </c>
      <c r="R107">
        <f t="shared" si="21"/>
        <v>43</v>
      </c>
      <c r="S107" s="61">
        <f t="shared" si="22"/>
        <v>100.5</v>
      </c>
      <c r="T107" s="59" t="str">
        <f>VLOOKUP(A107,Rīcibas_plans!$B$4:$D$234,3,FALSE)</f>
        <v>Atpūtas vietas izveide (pie Daugmales dīķa) Cibuļos (kad. nr. 80560020271, zemes gabalas pie Raģu ceļa)</v>
      </c>
      <c r="U107" s="59" t="str">
        <f>VLOOKUP(A107,Rīcibas_plans!$B$5:$Q$234,14,FALSE)</f>
        <v>Atpūtas vietas pie ūdens labiekārtošana. Potenciāla bērnu laukuma vietas izveide</v>
      </c>
    </row>
    <row r="108" spans="1:21">
      <c r="A108" s="58" t="s">
        <v>151</v>
      </c>
      <c r="B108">
        <v>15000</v>
      </c>
      <c r="C108">
        <v>100</v>
      </c>
      <c r="D108">
        <v>600</v>
      </c>
      <c r="E108">
        <v>300</v>
      </c>
      <c r="F108">
        <v>3</v>
      </c>
      <c r="J108" s="61">
        <f t="shared" si="13"/>
        <v>6.6666666666666671E-3</v>
      </c>
      <c r="K108" s="60">
        <f t="shared" si="14"/>
        <v>0.04</v>
      </c>
      <c r="L108" s="60">
        <f t="shared" si="15"/>
        <v>0.02</v>
      </c>
      <c r="M108">
        <f t="shared" si="16"/>
        <v>206</v>
      </c>
      <c r="N108">
        <f t="shared" si="17"/>
        <v>225</v>
      </c>
      <c r="O108">
        <f t="shared" si="18"/>
        <v>218</v>
      </c>
      <c r="P108">
        <f t="shared" si="19"/>
        <v>138</v>
      </c>
      <c r="Q108">
        <f t="shared" si="20"/>
        <v>184</v>
      </c>
      <c r="R108">
        <f t="shared" si="21"/>
        <v>182</v>
      </c>
      <c r="S108" s="61">
        <f t="shared" si="22"/>
        <v>192.16666666666666</v>
      </c>
      <c r="T108" s="59" t="str">
        <f>VLOOKUP(A108,Rīcibas_plans!$B$4:$D$234,3,FALSE)</f>
        <v>Laivu nolaišanas vieta</v>
      </c>
      <c r="U108" s="59" t="str">
        <f>VLOOKUP(A108,Rīcibas_plans!$B$5:$Q$234,14,FALSE)</f>
        <v>Laivu nolaišanas vieta</v>
      </c>
    </row>
    <row r="109" spans="1:21" ht="57.6">
      <c r="A109" s="58" t="s">
        <v>152</v>
      </c>
      <c r="B109">
        <v>3150</v>
      </c>
      <c r="C109">
        <v>50</v>
      </c>
      <c r="D109">
        <v>3000</v>
      </c>
      <c r="E109">
        <v>900</v>
      </c>
      <c r="F109">
        <v>2</v>
      </c>
      <c r="J109" s="61">
        <f t="shared" si="13"/>
        <v>1.5873015873015872E-2</v>
      </c>
      <c r="K109" s="60">
        <f t="shared" si="14"/>
        <v>0.95238095238095233</v>
      </c>
      <c r="L109" s="60">
        <f t="shared" si="15"/>
        <v>0.2857142857142857</v>
      </c>
      <c r="M109">
        <f t="shared" si="16"/>
        <v>215</v>
      </c>
      <c r="N109">
        <f t="shared" si="17"/>
        <v>214</v>
      </c>
      <c r="O109">
        <f t="shared" si="18"/>
        <v>213</v>
      </c>
      <c r="P109">
        <f t="shared" si="19"/>
        <v>110</v>
      </c>
      <c r="Q109">
        <f t="shared" si="20"/>
        <v>120</v>
      </c>
      <c r="R109">
        <f t="shared" si="21"/>
        <v>124</v>
      </c>
      <c r="S109" s="61">
        <f t="shared" si="22"/>
        <v>166</v>
      </c>
      <c r="T109" s="59" t="str">
        <f>VLOOKUP(A109,Rīcibas_plans!$B$4:$D$234,3,FALSE)</f>
        <v>Sabiedriskā transporta pietura "Kalniņi" pie P89</v>
      </c>
      <c r="U109" s="59" t="str">
        <f>VLOOKUP(A109,Rīcibas_plans!$B$5:$Q$234,14,FALSE)</f>
        <v>Veikt pieturas pārbūvi, veidojot kā M tipa sabiedriskā transporta pieturu.</v>
      </c>
    </row>
    <row r="110" spans="1:21" ht="43.15">
      <c r="A110" s="58" t="s">
        <v>153</v>
      </c>
      <c r="C110">
        <v>500</v>
      </c>
      <c r="D110">
        <v>60000</v>
      </c>
      <c r="E110">
        <v>9000</v>
      </c>
      <c r="F110">
        <v>7</v>
      </c>
      <c r="J110" s="61" t="str">
        <f t="shared" si="13"/>
        <v/>
      </c>
      <c r="K110" s="60" t="str">
        <f t="shared" si="14"/>
        <v/>
      </c>
      <c r="L110" s="60" t="str">
        <f t="shared" si="15"/>
        <v/>
      </c>
      <c r="M110">
        <f t="shared" si="16"/>
        <v>149</v>
      </c>
      <c r="N110">
        <f t="shared" si="17"/>
        <v>134</v>
      </c>
      <c r="O110">
        <f t="shared" si="18"/>
        <v>163</v>
      </c>
      <c r="P110" t="e">
        <f t="shared" si="19"/>
        <v>#VALUE!</v>
      </c>
      <c r="Q110" t="e">
        <f t="shared" si="20"/>
        <v>#VALUE!</v>
      </c>
      <c r="R110" t="e">
        <f t="shared" si="21"/>
        <v>#VALUE!</v>
      </c>
      <c r="S110" s="61" t="e">
        <f t="shared" si="22"/>
        <v>#VALUE!</v>
      </c>
      <c r="T110" s="59" t="str">
        <f>VLOOKUP(A110,Rīcibas_plans!$B$4:$D$234,3,FALSE)</f>
        <v>Daugmales pagasta  pārvaldes priekšlaukums, “Salnas”, Daugmale</v>
      </c>
      <c r="U110" s="59" t="str">
        <f>VLOOKUP(A110,Rīcibas_plans!$B$5:$Q$234,14,FALSE)</f>
        <v>Lietišķās atpūtas vieta (L tipa) noņemt autostāvvietas funkciju</v>
      </c>
    </row>
    <row r="111" spans="1:21" ht="28.9">
      <c r="A111" s="58" t="s">
        <v>154</v>
      </c>
      <c r="B111">
        <v>0</v>
      </c>
      <c r="C111">
        <v>1500</v>
      </c>
      <c r="D111">
        <v>360000</v>
      </c>
      <c r="E111">
        <v>90000</v>
      </c>
      <c r="F111">
        <v>7</v>
      </c>
      <c r="J111" s="61" t="str">
        <f t="shared" si="13"/>
        <v/>
      </c>
      <c r="K111" s="60" t="str">
        <f t="shared" si="14"/>
        <v/>
      </c>
      <c r="L111" s="60" t="str">
        <f t="shared" si="15"/>
        <v/>
      </c>
      <c r="M111">
        <f t="shared" si="16"/>
        <v>76</v>
      </c>
      <c r="N111">
        <f t="shared" si="17"/>
        <v>43</v>
      </c>
      <c r="O111">
        <f t="shared" si="18"/>
        <v>56</v>
      </c>
      <c r="P111" t="e">
        <f t="shared" si="19"/>
        <v>#VALUE!</v>
      </c>
      <c r="Q111" t="e">
        <f t="shared" si="20"/>
        <v>#VALUE!</v>
      </c>
      <c r="R111" t="e">
        <f t="shared" si="21"/>
        <v>#VALUE!</v>
      </c>
      <c r="S111" s="61" t="e">
        <f t="shared" si="22"/>
        <v>#VALUE!</v>
      </c>
      <c r="T111" s="59" t="str">
        <f>VLOOKUP(A111,Rīcibas_plans!$B$4:$D$234,3,FALSE)</f>
        <v>Daugmales Multifunkcionālā centra priekšlaukums, “Salnas”, Daugmale</v>
      </c>
      <c r="U111" s="59" t="str">
        <f>VLOOKUP(A111,Rīcibas_plans!$B$5:$Q$234,14,FALSE)</f>
        <v xml:space="preserve">- </v>
      </c>
    </row>
    <row r="112" spans="1:21" ht="72">
      <c r="A112" s="58" t="s">
        <v>155</v>
      </c>
      <c r="B112">
        <v>200000</v>
      </c>
      <c r="C112">
        <v>500</v>
      </c>
      <c r="D112">
        <v>120000</v>
      </c>
      <c r="E112">
        <v>30000</v>
      </c>
      <c r="F112">
        <v>1</v>
      </c>
      <c r="J112" s="61">
        <f t="shared" si="13"/>
        <v>2.5000000000000001E-3</v>
      </c>
      <c r="K112" s="60">
        <f t="shared" si="14"/>
        <v>0.6</v>
      </c>
      <c r="L112" s="60">
        <f t="shared" si="15"/>
        <v>0.15</v>
      </c>
      <c r="M112">
        <f t="shared" si="16"/>
        <v>149</v>
      </c>
      <c r="N112">
        <f t="shared" si="17"/>
        <v>95</v>
      </c>
      <c r="O112">
        <f t="shared" si="18"/>
        <v>107</v>
      </c>
      <c r="P112">
        <f t="shared" si="19"/>
        <v>164</v>
      </c>
      <c r="Q112">
        <f t="shared" si="20"/>
        <v>135</v>
      </c>
      <c r="R112">
        <f t="shared" si="21"/>
        <v>145</v>
      </c>
      <c r="S112" s="61">
        <f t="shared" si="22"/>
        <v>132.5</v>
      </c>
      <c r="T112" s="59" t="str">
        <f>VLOOKUP(A112,Rīcibas_plans!$B$4:$D$234,3,FALSE)</f>
        <v>Daugmales pamatskola, "Skola", Daugmale</v>
      </c>
      <c r="U112" s="59" t="str">
        <f>VLOOKUP(A112,Rīcibas_plans!$B$5:$Q$234,14,FALSE)</f>
        <v>Velosipēdu zonas palielināšana. Aktīvās atpūtas zonas labiekārtojuma uzlabošana.</v>
      </c>
    </row>
    <row r="113" spans="1:21" ht="86.45">
      <c r="A113" s="58" t="s">
        <v>156</v>
      </c>
      <c r="B113">
        <v>250000</v>
      </c>
      <c r="C113">
        <v>500</v>
      </c>
      <c r="D113">
        <v>60000</v>
      </c>
      <c r="E113">
        <v>30000</v>
      </c>
      <c r="F113">
        <v>7</v>
      </c>
      <c r="J113" s="61">
        <f t="shared" si="13"/>
        <v>2E-3</v>
      </c>
      <c r="K113" s="60">
        <f t="shared" si="14"/>
        <v>0.24</v>
      </c>
      <c r="L113" s="60">
        <f t="shared" si="15"/>
        <v>0.12</v>
      </c>
      <c r="M113">
        <f t="shared" si="16"/>
        <v>149</v>
      </c>
      <c r="N113">
        <f t="shared" si="17"/>
        <v>134</v>
      </c>
      <c r="O113">
        <f t="shared" si="18"/>
        <v>107</v>
      </c>
      <c r="P113">
        <f t="shared" si="19"/>
        <v>169</v>
      </c>
      <c r="Q113">
        <f t="shared" si="20"/>
        <v>159</v>
      </c>
      <c r="R113">
        <f t="shared" si="21"/>
        <v>153</v>
      </c>
      <c r="S113" s="61">
        <f t="shared" si="22"/>
        <v>145.16666666666666</v>
      </c>
      <c r="T113" s="59" t="str">
        <f>VLOOKUP(A113,Rīcibas_plans!$B$4:$D$234,3,FALSE)</f>
        <v>Daugmales dīķa Z-daļas parks, "Vērmeles", Daugmale, pie Raģu ceļa</v>
      </c>
      <c r="U113" s="59" t="str">
        <f>VLOOKUP(A113,Rīcibas_plans!$B$5:$Q$234,14,FALSE)</f>
        <v>Gājēju ceļa tīkls, ērta gājēju pāreja pāri šosejai un  lietišķās atpūtas vietas (M tipa). Potenciāli arī aktīvās atpūtas vieta - bērnu rotaļu laukums - M vai L tipa.</v>
      </c>
    </row>
    <row r="114" spans="1:21" ht="72">
      <c r="A114" s="58" t="s">
        <v>157</v>
      </c>
      <c r="B114">
        <v>550000</v>
      </c>
      <c r="C114">
        <v>1000</v>
      </c>
      <c r="D114">
        <v>120000</v>
      </c>
      <c r="E114">
        <v>36000</v>
      </c>
      <c r="F114">
        <v>7</v>
      </c>
      <c r="J114" s="61">
        <f t="shared" si="13"/>
        <v>1.8181818181818182E-3</v>
      </c>
      <c r="K114" s="60">
        <f t="shared" si="14"/>
        <v>0.21818181818181817</v>
      </c>
      <c r="L114" s="60">
        <f t="shared" si="15"/>
        <v>6.545454545454546E-2</v>
      </c>
      <c r="M114">
        <f t="shared" si="16"/>
        <v>93</v>
      </c>
      <c r="N114">
        <f t="shared" si="17"/>
        <v>95</v>
      </c>
      <c r="O114">
        <f t="shared" si="18"/>
        <v>99</v>
      </c>
      <c r="P114">
        <f t="shared" si="19"/>
        <v>173</v>
      </c>
      <c r="Q114">
        <f t="shared" si="20"/>
        <v>161</v>
      </c>
      <c r="R114">
        <f t="shared" si="21"/>
        <v>172</v>
      </c>
      <c r="S114" s="61">
        <f t="shared" si="22"/>
        <v>132.16666666666666</v>
      </c>
      <c r="T114" s="59" t="str">
        <f>VLOOKUP(A114,Rīcibas_plans!$B$4:$D$234,3,FALSE)</f>
        <v>Gājēju ietve un velo infrastruktūra  no Vedmeru ceļa līdz Daugmales centram.</v>
      </c>
      <c r="U114" s="59" t="str">
        <f>VLOOKUP(A114,Rīcibas_plans!$B$5:$Q$234,14,FALSE)</f>
        <v xml:space="preserve">Pieejamības uzlabošana ierīkojot gājēju ceļu tīklu, kāpnes pie objekta "Važu rāvējs". Potenciāla vieta kāzu ceremoniju rīkošanā </v>
      </c>
    </row>
    <row r="115" spans="1:21" ht="43.15">
      <c r="A115" s="58" t="s">
        <v>158</v>
      </c>
      <c r="B115">
        <v>82500</v>
      </c>
      <c r="C115">
        <v>1000</v>
      </c>
      <c r="D115">
        <v>120000</v>
      </c>
      <c r="E115">
        <v>36000</v>
      </c>
      <c r="F115">
        <v>2</v>
      </c>
      <c r="J115" s="61">
        <f t="shared" si="13"/>
        <v>1.2121212121212121E-2</v>
      </c>
      <c r="K115" s="60">
        <f t="shared" si="14"/>
        <v>1.4545454545454546</v>
      </c>
      <c r="L115" s="60">
        <f t="shared" si="15"/>
        <v>0.43636363636363634</v>
      </c>
      <c r="M115">
        <f t="shared" si="16"/>
        <v>93</v>
      </c>
      <c r="N115">
        <f t="shared" si="17"/>
        <v>95</v>
      </c>
      <c r="O115">
        <f t="shared" si="18"/>
        <v>99</v>
      </c>
      <c r="P115">
        <f t="shared" si="19"/>
        <v>116</v>
      </c>
      <c r="Q115">
        <f t="shared" si="20"/>
        <v>110</v>
      </c>
      <c r="R115">
        <f t="shared" si="21"/>
        <v>112</v>
      </c>
      <c r="S115" s="61">
        <f t="shared" si="22"/>
        <v>104.16666666666667</v>
      </c>
      <c r="T115" s="59" t="str">
        <f>VLOOKUP(A115,Rīcibas_plans!$B$4:$D$234,3,FALSE)</f>
        <v>Gājēju ietve un velo infrastruktūra  no Vedmeru ceļa līdz Daugmales centram.</v>
      </c>
      <c r="U115" s="59" t="str">
        <f>VLOOKUP(A115,Rīcibas_plans!$B$5:$Q$234,14,FALSE)</f>
        <v>Pieejamības uzlabošana ierīkojot velo infrastruktūru</v>
      </c>
    </row>
    <row r="116" spans="1:21" ht="86.45">
      <c r="A116" s="58" t="s">
        <v>159</v>
      </c>
      <c r="B116">
        <v>45100</v>
      </c>
      <c r="C116">
        <v>300</v>
      </c>
      <c r="D116">
        <v>10800</v>
      </c>
      <c r="E116">
        <v>10800</v>
      </c>
      <c r="F116">
        <v>1</v>
      </c>
      <c r="J116" s="61">
        <f t="shared" si="13"/>
        <v>6.6518847006651885E-3</v>
      </c>
      <c r="K116" s="60">
        <f t="shared" si="14"/>
        <v>0.23946784922394679</v>
      </c>
      <c r="L116" s="60">
        <f t="shared" si="15"/>
        <v>0.23946784922394679</v>
      </c>
      <c r="M116">
        <f t="shared" si="16"/>
        <v>178</v>
      </c>
      <c r="N116">
        <f t="shared" si="17"/>
        <v>190</v>
      </c>
      <c r="O116">
        <f t="shared" si="18"/>
        <v>158</v>
      </c>
      <c r="P116">
        <f t="shared" si="19"/>
        <v>141</v>
      </c>
      <c r="Q116">
        <f t="shared" si="20"/>
        <v>160</v>
      </c>
      <c r="R116">
        <f t="shared" si="21"/>
        <v>135</v>
      </c>
      <c r="S116" s="61">
        <f t="shared" si="22"/>
        <v>160.33333333333334</v>
      </c>
      <c r="T116" s="59" t="str">
        <f>VLOOKUP(A116,Rīcibas_plans!$B$4:$D$234,3,FALSE)</f>
        <v xml:space="preserve">Dzērumu ciema aktīvās atpūtas laukums, Aviators 71 </v>
      </c>
      <c r="U116" s="59" t="str">
        <f>VLOOKUP(A116,Rīcibas_plans!$B$5:$Q$234,14,FALSE)</f>
        <v xml:space="preserve">Izveidot jaunu atpūtas vietu Dzērumu ciemā, ka sparedzēta visu vecumu iedzīvotājiem. Ietvert sporta laikumu, rotālu laukumu. </v>
      </c>
    </row>
    <row r="117" spans="1:21" ht="86.45">
      <c r="A117" s="58" t="s">
        <v>160</v>
      </c>
      <c r="B117">
        <v>20000</v>
      </c>
      <c r="C117">
        <v>600</v>
      </c>
      <c r="D117">
        <v>144000</v>
      </c>
      <c r="E117">
        <v>28800</v>
      </c>
      <c r="F117">
        <v>3</v>
      </c>
      <c r="J117" s="61">
        <f t="shared" si="13"/>
        <v>0.03</v>
      </c>
      <c r="K117" s="60">
        <f t="shared" si="14"/>
        <v>7.2</v>
      </c>
      <c r="L117" s="60">
        <f t="shared" si="15"/>
        <v>1.44</v>
      </c>
      <c r="M117">
        <f t="shared" si="16"/>
        <v>140</v>
      </c>
      <c r="N117">
        <f t="shared" si="17"/>
        <v>87</v>
      </c>
      <c r="O117">
        <f t="shared" si="18"/>
        <v>119</v>
      </c>
      <c r="P117">
        <f t="shared" si="19"/>
        <v>99</v>
      </c>
      <c r="Q117">
        <f t="shared" si="20"/>
        <v>70</v>
      </c>
      <c r="R117">
        <f t="shared" si="21"/>
        <v>77</v>
      </c>
      <c r="S117" s="61">
        <f t="shared" si="22"/>
        <v>98.666666666666671</v>
      </c>
      <c r="T117" s="59" t="str">
        <f>VLOOKUP(A117,Rīcibas_plans!$B$4:$D$234,3,FALSE)</f>
        <v>Mikromobilitātes punkts Dzērumos (vieta jāprecizē)</v>
      </c>
      <c r="U117" s="59" t="str">
        <f>VLOOKUP(A117,Rīcibas_plans!$B$5:$Q$234,14,FALSE)</f>
        <v xml:space="preserve">Mikromobilitātes punkta izveide,kas ietver velosipēdu, taksometru, koplietošanas transportlīdzekļu pakalpojumu. </v>
      </c>
    </row>
    <row r="118" spans="1:21" ht="28.9">
      <c r="A118" s="58" t="s">
        <v>161</v>
      </c>
      <c r="B118">
        <v>13625</v>
      </c>
      <c r="C118">
        <v>100</v>
      </c>
      <c r="D118">
        <v>9600</v>
      </c>
      <c r="E118">
        <v>4800</v>
      </c>
      <c r="F118">
        <v>1</v>
      </c>
      <c r="J118" s="61">
        <f t="shared" si="13"/>
        <v>7.3394495412844041E-3</v>
      </c>
      <c r="K118" s="60">
        <f t="shared" si="14"/>
        <v>0.70458715596330279</v>
      </c>
      <c r="L118" s="60">
        <f t="shared" si="15"/>
        <v>0.3522935779816514</v>
      </c>
      <c r="M118">
        <f t="shared" si="16"/>
        <v>206</v>
      </c>
      <c r="N118">
        <f t="shared" si="17"/>
        <v>191</v>
      </c>
      <c r="O118">
        <f t="shared" si="18"/>
        <v>189</v>
      </c>
      <c r="P118">
        <f t="shared" si="19"/>
        <v>131</v>
      </c>
      <c r="Q118">
        <f t="shared" si="20"/>
        <v>129</v>
      </c>
      <c r="R118">
        <f t="shared" si="21"/>
        <v>117</v>
      </c>
      <c r="S118" s="61">
        <f t="shared" si="22"/>
        <v>160.5</v>
      </c>
      <c r="T118" s="59" t="str">
        <f>VLOOKUP(A118,Rīcibas_plans!$B$4:$D$234,3,FALSE)</f>
        <v>Kopienas centrs, rotaļu laukums Aviators 71, 80700181736</v>
      </c>
      <c r="U118" s="59" t="str">
        <f>VLOOKUP(A118,Rīcibas_plans!$B$5:$Q$234,14,FALSE)</f>
        <v>Rotaļu laukuma izveide.</v>
      </c>
    </row>
    <row r="119" spans="1:21" ht="43.15">
      <c r="A119" s="58" t="s">
        <v>162</v>
      </c>
      <c r="B119">
        <v>10000</v>
      </c>
      <c r="C119">
        <v>500</v>
      </c>
      <c r="D119">
        <v>6000</v>
      </c>
      <c r="E119">
        <v>12000</v>
      </c>
      <c r="F119">
        <v>1</v>
      </c>
      <c r="J119" s="61">
        <f t="shared" si="13"/>
        <v>0.05</v>
      </c>
      <c r="K119" s="60">
        <f t="shared" si="14"/>
        <v>0.6</v>
      </c>
      <c r="L119" s="60">
        <f t="shared" si="15"/>
        <v>1.2</v>
      </c>
      <c r="M119">
        <f t="shared" si="16"/>
        <v>149</v>
      </c>
      <c r="N119">
        <f t="shared" si="17"/>
        <v>196</v>
      </c>
      <c r="O119">
        <f t="shared" si="18"/>
        <v>155</v>
      </c>
      <c r="P119">
        <f t="shared" si="19"/>
        <v>75</v>
      </c>
      <c r="Q119">
        <f t="shared" si="20"/>
        <v>135</v>
      </c>
      <c r="R119">
        <f t="shared" si="21"/>
        <v>81</v>
      </c>
      <c r="S119" s="61">
        <f t="shared" si="22"/>
        <v>131.83333333333334</v>
      </c>
      <c r="T119" s="59" t="str">
        <f>VLOOKUP(A119,Rīcibas_plans!$B$4:$D$234,3,FALSE)</f>
        <v xml:space="preserve">Laivošanas maršruts pa Misas upi no A7 līdz Plakanciemam  </v>
      </c>
      <c r="U119" s="59" t="str">
        <f>VLOOKUP(A119,Rīcibas_plans!$B$5:$Q$234,14,FALSE)</f>
        <v>Laivošanas maršruta izveide. Tīrīšana un uzturēšana</v>
      </c>
    </row>
    <row r="120" spans="1:21" ht="86.45">
      <c r="A120" s="58" t="s">
        <v>163</v>
      </c>
      <c r="B120">
        <v>7160</v>
      </c>
      <c r="C120">
        <v>350</v>
      </c>
      <c r="D120">
        <v>16800</v>
      </c>
      <c r="E120">
        <v>16800</v>
      </c>
      <c r="F120">
        <v>7</v>
      </c>
      <c r="J120" s="61">
        <f t="shared" si="13"/>
        <v>4.8882681564245807E-2</v>
      </c>
      <c r="K120" s="60">
        <f t="shared" si="14"/>
        <v>2.3463687150837989</v>
      </c>
      <c r="L120" s="60">
        <f t="shared" si="15"/>
        <v>2.3463687150837989</v>
      </c>
      <c r="M120">
        <f t="shared" si="16"/>
        <v>177</v>
      </c>
      <c r="N120">
        <f t="shared" si="17"/>
        <v>186</v>
      </c>
      <c r="O120">
        <f t="shared" si="18"/>
        <v>145</v>
      </c>
      <c r="P120">
        <f t="shared" si="19"/>
        <v>79</v>
      </c>
      <c r="Q120">
        <f t="shared" si="20"/>
        <v>101</v>
      </c>
      <c r="R120">
        <f t="shared" si="21"/>
        <v>59</v>
      </c>
      <c r="S120" s="61">
        <f t="shared" si="22"/>
        <v>124.5</v>
      </c>
      <c r="T120" s="59" t="str">
        <f>VLOOKUP(A120,Rīcibas_plans!$B$4:$D$234,3,FALSE)</f>
        <v>Atpūtas vieta pie Misas upes</v>
      </c>
      <c r="U120" s="59" t="str">
        <f>VLOOKUP(A120,Rīcibas_plans!$B$5:$Q$234,14,FALSE)</f>
        <v>Labiekārtotas atpūtas vietas pie ūdens izveide. Krasta sakopšana. Labiekārtojuma elemetnu izbūve (soliņi, atkritumu urnas, velosipēdu statīvi)</v>
      </c>
    </row>
    <row r="121" spans="1:21" ht="28.9">
      <c r="A121" s="58" t="s">
        <v>164</v>
      </c>
      <c r="B121">
        <v>20000</v>
      </c>
      <c r="C121">
        <v>600</v>
      </c>
      <c r="D121">
        <v>180000</v>
      </c>
      <c r="E121">
        <v>36000</v>
      </c>
      <c r="F121">
        <v>1</v>
      </c>
      <c r="J121" s="61">
        <f t="shared" si="13"/>
        <v>0.03</v>
      </c>
      <c r="K121" s="60">
        <f t="shared" si="14"/>
        <v>9</v>
      </c>
      <c r="L121" s="60">
        <f t="shared" si="15"/>
        <v>1.8</v>
      </c>
      <c r="M121">
        <f t="shared" si="16"/>
        <v>140</v>
      </c>
      <c r="N121">
        <f t="shared" si="17"/>
        <v>77</v>
      </c>
      <c r="O121">
        <f t="shared" si="18"/>
        <v>99</v>
      </c>
      <c r="P121">
        <f t="shared" si="19"/>
        <v>99</v>
      </c>
      <c r="Q121">
        <f t="shared" si="20"/>
        <v>60</v>
      </c>
      <c r="R121">
        <f t="shared" si="21"/>
        <v>68</v>
      </c>
      <c r="S121" s="61">
        <f t="shared" si="22"/>
        <v>90.5</v>
      </c>
      <c r="T121" s="59" t="str">
        <f>VLOOKUP(A121,Rīcibas_plans!$B$4:$D$234,3,FALSE)</f>
        <v>Ielas apgaismojuma izveide no Dzēruma centra līdz A7 autoceļam</v>
      </c>
      <c r="U121" s="59" t="str">
        <f>VLOOKUP(A121,Rīcibas_plans!$B$5:$Q$234,14,FALSE)</f>
        <v>Ielas pgaismojuma ierīkošana</v>
      </c>
    </row>
    <row r="122" spans="1:21" ht="57.6">
      <c r="A122" s="58" t="s">
        <v>165</v>
      </c>
      <c r="B122">
        <v>13625</v>
      </c>
      <c r="C122">
        <v>10</v>
      </c>
      <c r="D122">
        <v>1200</v>
      </c>
      <c r="E122">
        <v>1200</v>
      </c>
      <c r="F122">
        <v>3</v>
      </c>
      <c r="J122" s="61">
        <f t="shared" si="13"/>
        <v>7.3394495412844036E-4</v>
      </c>
      <c r="K122" s="60">
        <f t="shared" si="14"/>
        <v>8.8073394495412849E-2</v>
      </c>
      <c r="L122" s="60">
        <f t="shared" si="15"/>
        <v>8.8073394495412849E-2</v>
      </c>
      <c r="M122">
        <f t="shared" si="16"/>
        <v>227</v>
      </c>
      <c r="N122">
        <f t="shared" si="17"/>
        <v>220</v>
      </c>
      <c r="O122">
        <f t="shared" si="18"/>
        <v>211</v>
      </c>
      <c r="P122">
        <f t="shared" si="19"/>
        <v>186</v>
      </c>
      <c r="Q122">
        <f t="shared" si="20"/>
        <v>178</v>
      </c>
      <c r="R122">
        <f t="shared" si="21"/>
        <v>163</v>
      </c>
      <c r="S122" s="61">
        <f t="shared" si="22"/>
        <v>197.5</v>
      </c>
      <c r="T122" s="59" t="str">
        <f>VLOOKUP(A122,Rīcibas_plans!$B$4:$D$234,3,FALSE)</f>
        <v>Rotaļu laukums adrese Baltā iela 27</v>
      </c>
      <c r="U122" s="59" t="str">
        <f>VLOOKUP(A122,Rīcibas_plans!$B$5:$Q$234,14,FALSE)</f>
        <v>Rotaļu laukuma pilnveidošana un papildināšnaa ar elementiem</v>
      </c>
    </row>
    <row r="123" spans="1:21" ht="57.6">
      <c r="A123" s="58" t="s">
        <v>166</v>
      </c>
      <c r="B123">
        <v>640000</v>
      </c>
      <c r="C123">
        <v>4000</v>
      </c>
      <c r="D123">
        <v>480000</v>
      </c>
      <c r="E123">
        <v>48000</v>
      </c>
      <c r="F123">
        <v>3</v>
      </c>
      <c r="J123" s="61">
        <f t="shared" si="13"/>
        <v>6.2500000000000003E-3</v>
      </c>
      <c r="K123" s="60">
        <f t="shared" si="14"/>
        <v>0.75</v>
      </c>
      <c r="L123" s="60">
        <f t="shared" si="15"/>
        <v>7.4999999999999997E-2</v>
      </c>
      <c r="M123">
        <f t="shared" si="16"/>
        <v>32</v>
      </c>
      <c r="N123">
        <f t="shared" si="17"/>
        <v>35</v>
      </c>
      <c r="O123">
        <f t="shared" si="18"/>
        <v>86</v>
      </c>
      <c r="P123">
        <f t="shared" si="19"/>
        <v>142</v>
      </c>
      <c r="Q123">
        <f t="shared" si="20"/>
        <v>127</v>
      </c>
      <c r="R123">
        <f t="shared" si="21"/>
        <v>168</v>
      </c>
      <c r="S123" s="61">
        <f t="shared" si="22"/>
        <v>98.333333333333329</v>
      </c>
      <c r="T123" s="59" t="str">
        <f>VLOOKUP(A123,Rīcibas_plans!$B$4:$D$234,3,FALSE)</f>
        <v>Novadpētniecības muzeja, Doles Tautas nama ēkas apkārtne
Ķekavas parka Z daļa Rīgas iela 26,Skolas iela 2A,</v>
      </c>
      <c r="U123" s="59" t="str">
        <f>VLOOKUP(A123,Rīcibas_plans!$B$5:$Q$234,14,FALSE)</f>
        <v>Teritorijas papildināšana ar koku stādījumiem pie Novadpētniecības muzeja</v>
      </c>
    </row>
    <row r="124" spans="1:21" ht="86.45">
      <c r="A124" s="58" t="s">
        <v>167</v>
      </c>
      <c r="B124">
        <v>275000</v>
      </c>
      <c r="C124">
        <v>5500</v>
      </c>
      <c r="D124">
        <v>330000</v>
      </c>
      <c r="E124">
        <v>330000</v>
      </c>
      <c r="F124">
        <v>3</v>
      </c>
      <c r="J124" s="61">
        <f t="shared" si="13"/>
        <v>0.02</v>
      </c>
      <c r="K124" s="60">
        <f t="shared" si="14"/>
        <v>1.2</v>
      </c>
      <c r="L124" s="60">
        <f t="shared" si="15"/>
        <v>1.2</v>
      </c>
      <c r="M124">
        <f t="shared" si="16"/>
        <v>23</v>
      </c>
      <c r="N124">
        <f t="shared" si="17"/>
        <v>54</v>
      </c>
      <c r="O124">
        <f t="shared" si="18"/>
        <v>22</v>
      </c>
      <c r="P124">
        <f t="shared" si="19"/>
        <v>105</v>
      </c>
      <c r="Q124">
        <f t="shared" si="20"/>
        <v>115</v>
      </c>
      <c r="R124">
        <f t="shared" si="21"/>
        <v>81</v>
      </c>
      <c r="S124" s="61">
        <f t="shared" si="22"/>
        <v>66.666666666666671</v>
      </c>
      <c r="T124" s="59" t="str">
        <f>VLOOKUP(A124,Rīcibas_plans!$B$4:$D$234,3,FALSE)</f>
        <v xml:space="preserve">`Ķekavas ūdensdzirnavas``, Kekavas parka DK-daļa ar rotaļu laukumu </v>
      </c>
      <c r="U124" s="59" t="str">
        <f>VLOOKUP(A124,Rīcibas_plans!$B$5:$Q$234,14,FALSE)</f>
        <v>Samazināt antropogēno slodzi uz apkārtejo teritoriju. Platāki gājēju ceļi, cietais segums, atbilstošs segums zem rotaļu iekārtām.</v>
      </c>
    </row>
    <row r="125" spans="1:21" ht="86.45">
      <c r="A125" s="58" t="s">
        <v>168</v>
      </c>
      <c r="C125">
        <v>800</v>
      </c>
      <c r="D125">
        <v>57600</v>
      </c>
      <c r="E125">
        <v>57600</v>
      </c>
      <c r="F125">
        <v>3</v>
      </c>
      <c r="J125" s="61" t="str">
        <f t="shared" si="13"/>
        <v/>
      </c>
      <c r="K125" s="60" t="str">
        <f t="shared" si="14"/>
        <v/>
      </c>
      <c r="L125" s="60" t="str">
        <f t="shared" si="15"/>
        <v/>
      </c>
      <c r="M125">
        <f t="shared" si="16"/>
        <v>130</v>
      </c>
      <c r="N125">
        <f t="shared" si="17"/>
        <v>149</v>
      </c>
      <c r="O125">
        <f t="shared" si="18"/>
        <v>74</v>
      </c>
      <c r="P125" t="e">
        <f t="shared" si="19"/>
        <v>#VALUE!</v>
      </c>
      <c r="Q125" t="e">
        <f t="shared" si="20"/>
        <v>#VALUE!</v>
      </c>
      <c r="R125" t="e">
        <f t="shared" si="21"/>
        <v>#VALUE!</v>
      </c>
      <c r="S125" s="61" t="e">
        <f t="shared" si="22"/>
        <v>#VALUE!</v>
      </c>
      <c r="T125" s="59" t="str">
        <f>VLOOKUP(A125,Rīcibas_plans!$B$4:$D$234,3,FALSE)</f>
        <v xml:space="preserve">`Ķekavas ūdensdzirnavas``, Kekavas parka DK-daļa ar rotaļu laukumu </v>
      </c>
      <c r="U125" s="59" t="str">
        <f>VLOOKUP(A125,Rīcibas_plans!$B$5:$Q$234,14,FALSE)</f>
        <v>Samazināt antropogēno slodzi uz apkārtejo teritoriju. Platāki gājēju ceļi, cietais segums, atbilstošs segums zem rotaļu iekārtām.</v>
      </c>
    </row>
    <row r="126" spans="1:21" ht="57.6">
      <c r="A126" s="58" t="s">
        <v>169</v>
      </c>
      <c r="C126">
        <v>1500</v>
      </c>
      <c r="D126">
        <v>144000</v>
      </c>
      <c r="E126">
        <v>14400</v>
      </c>
      <c r="F126">
        <v>3</v>
      </c>
      <c r="J126" s="61" t="str">
        <f t="shared" si="13"/>
        <v/>
      </c>
      <c r="K126" s="60" t="str">
        <f t="shared" si="14"/>
        <v/>
      </c>
      <c r="L126" s="60" t="str">
        <f t="shared" si="15"/>
        <v/>
      </c>
      <c r="M126">
        <f t="shared" si="16"/>
        <v>76</v>
      </c>
      <c r="N126">
        <f t="shared" si="17"/>
        <v>87</v>
      </c>
      <c r="O126">
        <f t="shared" si="18"/>
        <v>147</v>
      </c>
      <c r="P126" t="e">
        <f t="shared" si="19"/>
        <v>#VALUE!</v>
      </c>
      <c r="Q126" t="e">
        <f t="shared" si="20"/>
        <v>#VALUE!</v>
      </c>
      <c r="R126" t="e">
        <f t="shared" si="21"/>
        <v>#VALUE!</v>
      </c>
      <c r="S126" s="61" t="e">
        <f t="shared" si="22"/>
        <v>#VALUE!</v>
      </c>
      <c r="T126" s="59" t="str">
        <f>VLOOKUP(A126,Rīcibas_plans!$B$4:$D$234,3,FALSE)</f>
        <v>Tirdzniecības/Darījumu ēku apkārtne, Nākotnes iela 2,Nākotnes iela 1, Rīgas iela 28.</v>
      </c>
      <c r="U126" s="59" t="str">
        <f>VLOOKUP(A126,Rīcibas_plans!$B$5:$Q$234,14,FALSE)</f>
        <v>Ieejas zonas iezīmēšana (jur.persona t/c Dalderi). Zaļās zonas palielināšana ar koku stādījumiem.</v>
      </c>
    </row>
    <row r="127" spans="1:21" ht="28.9">
      <c r="A127" s="58" t="s">
        <v>170</v>
      </c>
      <c r="C127">
        <v>200</v>
      </c>
      <c r="D127">
        <v>6000</v>
      </c>
      <c r="E127">
        <v>9000</v>
      </c>
      <c r="F127">
        <v>7</v>
      </c>
      <c r="J127" s="61" t="str">
        <f t="shared" si="13"/>
        <v/>
      </c>
      <c r="K127" s="60" t="str">
        <f t="shared" si="14"/>
        <v/>
      </c>
      <c r="L127" s="60" t="str">
        <f t="shared" si="15"/>
        <v/>
      </c>
      <c r="M127">
        <f t="shared" si="16"/>
        <v>186</v>
      </c>
      <c r="N127">
        <f t="shared" si="17"/>
        <v>196</v>
      </c>
      <c r="O127">
        <f t="shared" si="18"/>
        <v>163</v>
      </c>
      <c r="P127" t="e">
        <f t="shared" si="19"/>
        <v>#VALUE!</v>
      </c>
      <c r="Q127" t="e">
        <f t="shared" si="20"/>
        <v>#VALUE!</v>
      </c>
      <c r="R127" t="e">
        <f t="shared" si="21"/>
        <v>#VALUE!</v>
      </c>
      <c r="S127" s="61" t="e">
        <f t="shared" si="22"/>
        <v>#VALUE!</v>
      </c>
      <c r="T127" s="59" t="str">
        <f>VLOOKUP(A127,Rīcibas_plans!$B$4:$D$234,3,FALSE)</f>
        <v>Doles-Ķekavas Evaņģēliski luteriskā baznīca, Rīgas iela 75.</v>
      </c>
      <c r="U127" s="59" t="str">
        <f>VLOOKUP(A127,Rīcibas_plans!$B$5:$Q$234,14,FALSE)</f>
        <v>Turpmākajā plānošanas procesā veicamie darbi</v>
      </c>
    </row>
    <row r="128" spans="1:21" ht="72">
      <c r="A128" s="58" t="s">
        <v>171</v>
      </c>
      <c r="B128">
        <v>484000</v>
      </c>
      <c r="C128">
        <v>200</v>
      </c>
      <c r="D128">
        <v>2400</v>
      </c>
      <c r="E128">
        <v>2400</v>
      </c>
      <c r="F128">
        <v>7</v>
      </c>
      <c r="J128" s="61">
        <f t="shared" si="13"/>
        <v>4.1322314049586776E-4</v>
      </c>
      <c r="K128" s="60">
        <f t="shared" si="14"/>
        <v>4.9586776859504135E-3</v>
      </c>
      <c r="L128" s="60">
        <f t="shared" si="15"/>
        <v>4.9586776859504135E-3</v>
      </c>
      <c r="M128">
        <f t="shared" si="16"/>
        <v>186</v>
      </c>
      <c r="N128">
        <f t="shared" si="17"/>
        <v>216</v>
      </c>
      <c r="O128">
        <f t="shared" si="18"/>
        <v>200</v>
      </c>
      <c r="P128">
        <f t="shared" si="19"/>
        <v>192</v>
      </c>
      <c r="Q128">
        <f t="shared" si="20"/>
        <v>194</v>
      </c>
      <c r="R128">
        <f t="shared" si="21"/>
        <v>188</v>
      </c>
      <c r="S128" s="61">
        <f t="shared" si="22"/>
        <v>196</v>
      </c>
      <c r="T128" s="59" t="str">
        <f>VLOOKUP(A128,Rīcibas_plans!$B$4:$D$234,3,FALSE)</f>
        <v>Mols pie Daugavas, Zvejnieku iela 8</v>
      </c>
      <c r="U128" s="59" t="str">
        <f>VLOOKUP(A128,Rīcibas_plans!$B$5:$Q$234,14,FALSE)</f>
        <v>Gājēju ceļu izbūve, pieejamības uzlabošana.Savienojumi ar citām rekreācijas teritorijām</v>
      </c>
    </row>
    <row r="129" spans="1:21" ht="72">
      <c r="A129" s="58" t="s">
        <v>172</v>
      </c>
      <c r="B129">
        <v>180</v>
      </c>
      <c r="C129">
        <v>200</v>
      </c>
      <c r="D129">
        <v>2400</v>
      </c>
      <c r="E129">
        <v>24</v>
      </c>
      <c r="F129">
        <v>7</v>
      </c>
      <c r="J129" s="61">
        <f t="shared" si="13"/>
        <v>1.1111111111111112</v>
      </c>
      <c r="K129" s="60">
        <f t="shared" si="14"/>
        <v>13.333333333333334</v>
      </c>
      <c r="L129" s="60">
        <f t="shared" si="15"/>
        <v>0.13333333333333333</v>
      </c>
      <c r="M129">
        <f t="shared" si="16"/>
        <v>186</v>
      </c>
      <c r="N129">
        <f t="shared" si="17"/>
        <v>216</v>
      </c>
      <c r="O129">
        <f t="shared" si="18"/>
        <v>228</v>
      </c>
      <c r="P129">
        <f t="shared" si="19"/>
        <v>10</v>
      </c>
      <c r="Q129">
        <f t="shared" si="20"/>
        <v>49</v>
      </c>
      <c r="R129">
        <f t="shared" si="21"/>
        <v>151</v>
      </c>
      <c r="S129" s="61">
        <f t="shared" si="22"/>
        <v>140</v>
      </c>
      <c r="T129" s="59" t="str">
        <f>VLOOKUP(A129,Rīcibas_plans!$B$4:$D$234,3,FALSE)</f>
        <v>Mols pie Daugavas, Zvejnieku iela 8</v>
      </c>
      <c r="U129" s="59" t="str">
        <f>VLOOKUP(A129,Rīcibas_plans!$B$5:$Q$234,14,FALSE)</f>
        <v>Gājēju ceļu izbūve, pieejamības uzlabošana.Savienojumi ar citām rekreācijas teritorijām</v>
      </c>
    </row>
    <row r="130" spans="1:21" ht="72">
      <c r="A130" s="58" t="s">
        <v>173</v>
      </c>
      <c r="C130">
        <v>1000</v>
      </c>
      <c r="D130">
        <v>6000</v>
      </c>
      <c r="E130">
        <v>9000</v>
      </c>
      <c r="F130">
        <v>7</v>
      </c>
      <c r="J130" s="61" t="str">
        <f t="shared" si="13"/>
        <v/>
      </c>
      <c r="K130" s="60" t="str">
        <f t="shared" si="14"/>
        <v/>
      </c>
      <c r="L130" s="60" t="str">
        <f t="shared" si="15"/>
        <v/>
      </c>
      <c r="M130">
        <f t="shared" si="16"/>
        <v>93</v>
      </c>
      <c r="N130">
        <f t="shared" si="17"/>
        <v>196</v>
      </c>
      <c r="O130">
        <f t="shared" si="18"/>
        <v>163</v>
      </c>
      <c r="P130" t="e">
        <f t="shared" si="19"/>
        <v>#VALUE!</v>
      </c>
      <c r="Q130" t="e">
        <f t="shared" si="20"/>
        <v>#VALUE!</v>
      </c>
      <c r="R130" t="e">
        <f t="shared" si="21"/>
        <v>#VALUE!</v>
      </c>
      <c r="S130" s="61" t="e">
        <f t="shared" si="22"/>
        <v>#VALUE!</v>
      </c>
      <c r="T130" s="59" t="str">
        <f>VLOOKUP(A130,Rīcibas_plans!$B$4:$D$234,3,FALSE)</f>
        <v>Labiekārtota atpūtas vietas pie ūdens zona, Dārznieku iela 13,</v>
      </c>
      <c r="U130" s="59" t="str">
        <f>VLOOKUP(A130,Rīcibas_plans!$B$5:$Q$234,14,FALSE)</f>
        <v>Savstarpēji saskaņoti labiekārtojuma elementi, papildināt ar apgaismojumu, norādes uz atpūtas vietu pie ūdens.</v>
      </c>
    </row>
    <row r="131" spans="1:21" ht="72">
      <c r="A131" s="58" t="s">
        <v>174</v>
      </c>
      <c r="C131">
        <v>1000</v>
      </c>
      <c r="D131">
        <v>6000</v>
      </c>
      <c r="E131">
        <v>60</v>
      </c>
      <c r="F131">
        <v>2</v>
      </c>
      <c r="J131" s="61" t="str">
        <f t="shared" si="13"/>
        <v/>
      </c>
      <c r="K131" s="60" t="str">
        <f t="shared" si="14"/>
        <v/>
      </c>
      <c r="L131" s="60" t="str">
        <f t="shared" si="15"/>
        <v/>
      </c>
      <c r="M131">
        <f t="shared" si="16"/>
        <v>93</v>
      </c>
      <c r="N131">
        <f t="shared" si="17"/>
        <v>196</v>
      </c>
      <c r="O131">
        <f t="shared" si="18"/>
        <v>225</v>
      </c>
      <c r="P131" t="e">
        <f t="shared" si="19"/>
        <v>#VALUE!</v>
      </c>
      <c r="Q131" t="e">
        <f t="shared" si="20"/>
        <v>#VALUE!</v>
      </c>
      <c r="R131" t="e">
        <f t="shared" si="21"/>
        <v>#VALUE!</v>
      </c>
      <c r="S131" s="61" t="e">
        <f t="shared" si="22"/>
        <v>#VALUE!</v>
      </c>
      <c r="T131" s="59" t="str">
        <f>VLOOKUP(A131,Rīcibas_plans!$B$4:$D$234,3,FALSE)</f>
        <v>Labiekārtota atpūtas vietas pie ūdens  zona,Dārznieku iela 13,</v>
      </c>
      <c r="U131" s="59" t="str">
        <f>VLOOKUP(A131,Rīcibas_plans!$B$5:$Q$234,14,FALSE)</f>
        <v>Savstarpēji saskaņoti labiekārtojuma elementi, papildināt ar apgaismojumu, norādes uz atpūtas vietu pie ūdens</v>
      </c>
    </row>
    <row r="132" spans="1:21" ht="100.9">
      <c r="A132" s="58" t="s">
        <v>175</v>
      </c>
      <c r="C132">
        <v>500</v>
      </c>
      <c r="D132">
        <v>90000</v>
      </c>
      <c r="E132">
        <v>13500</v>
      </c>
      <c r="F132">
        <v>1</v>
      </c>
      <c r="J132" s="61" t="str">
        <f t="shared" si="13"/>
        <v/>
      </c>
      <c r="K132" s="60" t="str">
        <f t="shared" si="14"/>
        <v/>
      </c>
      <c r="L132" s="60" t="str">
        <f t="shared" si="15"/>
        <v/>
      </c>
      <c r="M132">
        <f t="shared" si="16"/>
        <v>149</v>
      </c>
      <c r="N132">
        <f t="shared" si="17"/>
        <v>121</v>
      </c>
      <c r="O132">
        <f t="shared" si="18"/>
        <v>152</v>
      </c>
      <c r="P132" t="e">
        <f t="shared" si="19"/>
        <v>#VALUE!</v>
      </c>
      <c r="Q132" t="e">
        <f t="shared" si="20"/>
        <v>#VALUE!</v>
      </c>
      <c r="R132" t="e">
        <f t="shared" si="21"/>
        <v>#VALUE!</v>
      </c>
      <c r="S132" s="61" t="e">
        <f t="shared" si="22"/>
        <v>#VALUE!</v>
      </c>
      <c r="T132" s="59" t="str">
        <f>VLOOKUP(A132,Rīcibas_plans!$B$4:$D$234,3,FALSE)</f>
        <v>Ķekavas vidusskola, Gaismas iela 9</v>
      </c>
      <c r="U132" s="59" t="str">
        <f>VLOOKUP(A132,Rīcibas_plans!$B$5:$Q$234,14,FALSE)</f>
        <v>Veikt skolas priekšlaukuma rekonstrukciju un funkcionālo zonējumu - gājēju ceļi, velosipēdu novietnes, lietišķās atpūtas vieta (S tipa), apstādījumu zona</v>
      </c>
    </row>
    <row r="133" spans="1:21" ht="100.9">
      <c r="A133" s="58" t="s">
        <v>176</v>
      </c>
      <c r="B133">
        <v>2765</v>
      </c>
      <c r="C133">
        <v>500</v>
      </c>
      <c r="D133">
        <v>90000</v>
      </c>
      <c r="E133">
        <v>13500</v>
      </c>
      <c r="F133">
        <v>1</v>
      </c>
      <c r="J133" s="61">
        <f t="shared" ref="J133:J196" si="23">IFERROR(C133/B133,"")</f>
        <v>0.18083182640144665</v>
      </c>
      <c r="K133" s="60">
        <f t="shared" ref="K133:K196" si="24">IFERROR(D133/B133,"")</f>
        <v>32.5497287522604</v>
      </c>
      <c r="L133" s="60">
        <f t="shared" ref="L133:L196" si="25">IFERROR(E133/B133, "")</f>
        <v>4.8824593128390594</v>
      </c>
      <c r="M133">
        <f t="shared" ref="M133:M196" si="26">_xlfn.RANK.EQ(C133,C$4:C$232,0)</f>
        <v>149</v>
      </c>
      <c r="N133">
        <f t="shared" ref="N133:N196" si="27">_xlfn.RANK.EQ(D133,D$4:D$232,0)</f>
        <v>121</v>
      </c>
      <c r="O133">
        <f t="shared" ref="O133:O196" si="28">_xlfn.RANK.EQ(E133,E$4:E$232,0)</f>
        <v>152</v>
      </c>
      <c r="P133">
        <f t="shared" ref="P133:P196" si="29">_xlfn.RANK.EQ(J133,J$4:J$232,0)</f>
        <v>35</v>
      </c>
      <c r="Q133">
        <f t="shared" ref="Q133:Q196" si="30">_xlfn.RANK.EQ(K133,K$4:K$232,0)</f>
        <v>25</v>
      </c>
      <c r="R133">
        <f t="shared" ref="R133:R196" si="31">_xlfn.RANK.EQ(L133,L$4:L$232,0)</f>
        <v>39</v>
      </c>
      <c r="S133" s="61">
        <f t="shared" ref="S133:S196" si="32">AVERAGE(M133:R133)</f>
        <v>86.833333333333329</v>
      </c>
      <c r="T133" s="59" t="str">
        <f>VLOOKUP(A133,Rīcibas_plans!$B$4:$D$234,3,FALSE)</f>
        <v>Ķekavas vidusskola, Gaismas iela 9</v>
      </c>
      <c r="U133" s="59" t="str">
        <f>VLOOKUP(A133,Rīcibas_plans!$B$5:$Q$234,14,FALSE)</f>
        <v>Veikt skolas priekšlaukuma rekonstrukciju un funkcionālo zonējumu - gājēju ceļi, velosipēdu novietnes, lietišķās atpūtas vieta (S tipa), apstādījumu zona</v>
      </c>
    </row>
    <row r="134" spans="1:21" ht="28.9">
      <c r="A134" s="58" t="s">
        <v>177</v>
      </c>
      <c r="B134">
        <v>6300</v>
      </c>
      <c r="C134">
        <v>4800</v>
      </c>
      <c r="D134">
        <v>460800</v>
      </c>
      <c r="E134">
        <v>92160</v>
      </c>
      <c r="F134">
        <v>1</v>
      </c>
      <c r="J134" s="61">
        <f t="shared" si="23"/>
        <v>0.76190476190476186</v>
      </c>
      <c r="K134" s="60">
        <f t="shared" si="24"/>
        <v>73.142857142857139</v>
      </c>
      <c r="L134" s="60">
        <f t="shared" si="25"/>
        <v>14.628571428571428</v>
      </c>
      <c r="M134">
        <f t="shared" si="26"/>
        <v>31</v>
      </c>
      <c r="N134">
        <f t="shared" si="27"/>
        <v>40</v>
      </c>
      <c r="O134">
        <f t="shared" si="28"/>
        <v>55</v>
      </c>
      <c r="P134">
        <f t="shared" si="29"/>
        <v>15</v>
      </c>
      <c r="Q134">
        <f t="shared" si="30"/>
        <v>16</v>
      </c>
      <c r="R134">
        <f t="shared" si="31"/>
        <v>17</v>
      </c>
      <c r="S134" s="61">
        <f t="shared" si="32"/>
        <v>29</v>
      </c>
      <c r="T134" s="59" t="str">
        <f>VLOOKUP(A134,Rīcibas_plans!$B$4:$D$234,3,FALSE)</f>
        <v>Ķekavas kultūras nama priekšlaukums, Gaismas iela 17</v>
      </c>
      <c r="U134" s="59" t="str">
        <f>VLOOKUP(A134,Rīcibas_plans!$B$5:$Q$234,14,FALSE)</f>
        <v>Papildināt ar pasīvās atpūtas vietu (M tipa)</v>
      </c>
    </row>
    <row r="135" spans="1:21" ht="57.6">
      <c r="A135" s="58" t="s">
        <v>178</v>
      </c>
      <c r="B135">
        <v>7160</v>
      </c>
      <c r="C135">
        <v>1200</v>
      </c>
      <c r="D135">
        <v>7200</v>
      </c>
      <c r="E135">
        <v>7200</v>
      </c>
      <c r="F135">
        <v>1</v>
      </c>
      <c r="J135" s="61">
        <f t="shared" si="23"/>
        <v>0.16759776536312848</v>
      </c>
      <c r="K135" s="60">
        <f t="shared" si="24"/>
        <v>1.005586592178771</v>
      </c>
      <c r="L135" s="60">
        <f t="shared" si="25"/>
        <v>1.005586592178771</v>
      </c>
      <c r="M135">
        <f t="shared" si="26"/>
        <v>91</v>
      </c>
      <c r="N135">
        <f t="shared" si="27"/>
        <v>194</v>
      </c>
      <c r="O135">
        <f t="shared" si="28"/>
        <v>172</v>
      </c>
      <c r="P135">
        <f t="shared" si="29"/>
        <v>39</v>
      </c>
      <c r="Q135">
        <f t="shared" si="30"/>
        <v>117</v>
      </c>
      <c r="R135">
        <f t="shared" si="31"/>
        <v>91</v>
      </c>
      <c r="S135" s="61">
        <f t="shared" si="32"/>
        <v>117.33333333333333</v>
      </c>
      <c r="T135" s="59" t="str">
        <f>VLOOKUP(A135,Rīcibas_plans!$B$4:$D$234,3,FALSE)</f>
        <v>Ķekavas upes atpūtas vieta "Dambītis"</v>
      </c>
      <c r="U135" s="59" t="str">
        <f>VLOOKUP(A135,Rīcibas_plans!$B$5:$Q$234,14,FALSE)</f>
        <v>Lietišķās atpūtas vietas labiekārtošana (L tipa). Jāplāno norādes un piekļuves uzlabošana.</v>
      </c>
    </row>
    <row r="136" spans="1:21" ht="43.15">
      <c r="A136" s="58" t="s">
        <v>179</v>
      </c>
      <c r="B136">
        <v>30300</v>
      </c>
      <c r="C136">
        <v>1000</v>
      </c>
      <c r="D136">
        <v>60000</v>
      </c>
      <c r="E136">
        <v>90000</v>
      </c>
      <c r="F136">
        <v>3</v>
      </c>
      <c r="J136" s="61">
        <f t="shared" si="23"/>
        <v>3.3003300330033E-2</v>
      </c>
      <c r="K136" s="60">
        <f t="shared" si="24"/>
        <v>1.9801980198019802</v>
      </c>
      <c r="L136" s="60">
        <f t="shared" si="25"/>
        <v>2.9702970297029703</v>
      </c>
      <c r="M136">
        <f t="shared" si="26"/>
        <v>93</v>
      </c>
      <c r="N136">
        <f t="shared" si="27"/>
        <v>134</v>
      </c>
      <c r="O136">
        <f t="shared" si="28"/>
        <v>56</v>
      </c>
      <c r="P136">
        <f t="shared" si="29"/>
        <v>96</v>
      </c>
      <c r="Q136">
        <f t="shared" si="30"/>
        <v>102</v>
      </c>
      <c r="R136">
        <f t="shared" si="31"/>
        <v>52</v>
      </c>
      <c r="S136" s="61">
        <f t="shared" si="32"/>
        <v>88.833333333333329</v>
      </c>
      <c r="T136" s="59" t="str">
        <f>VLOOKUP(A136,Rīcibas_plans!$B$4:$D$234,3,FALSE)</f>
        <v>Ķekavas sporta klubs, `Fortius```Delta``</v>
      </c>
      <c r="U136" s="59" t="str">
        <f>VLOOKUP(A136,Rīcibas_plans!$B$5:$Q$234,14,FALSE)</f>
        <v>Aktīvās atpūtas labiekārtojuma papildināšana</v>
      </c>
    </row>
    <row r="137" spans="1:21" ht="72">
      <c r="A137" s="58" t="s">
        <v>180</v>
      </c>
      <c r="B137">
        <v>10000</v>
      </c>
      <c r="C137">
        <v>50000</v>
      </c>
      <c r="D137">
        <v>9000000</v>
      </c>
      <c r="E137">
        <v>90000</v>
      </c>
      <c r="F137">
        <v>1</v>
      </c>
      <c r="J137" s="61">
        <f t="shared" si="23"/>
        <v>5</v>
      </c>
      <c r="K137" s="60">
        <f t="shared" si="24"/>
        <v>900</v>
      </c>
      <c r="L137" s="60">
        <f t="shared" si="25"/>
        <v>9</v>
      </c>
      <c r="M137">
        <f t="shared" si="26"/>
        <v>1</v>
      </c>
      <c r="N137">
        <f t="shared" si="27"/>
        <v>1</v>
      </c>
      <c r="O137">
        <f t="shared" si="28"/>
        <v>56</v>
      </c>
      <c r="P137">
        <f t="shared" si="29"/>
        <v>7</v>
      </c>
      <c r="Q137">
        <f t="shared" si="30"/>
        <v>6</v>
      </c>
      <c r="R137">
        <f t="shared" si="31"/>
        <v>22</v>
      </c>
      <c r="S137" s="61">
        <f t="shared" si="32"/>
        <v>15.5</v>
      </c>
      <c r="T137" s="59" t="str">
        <f>VLOOKUP(A137,Rīcibas_plans!$B$4:$D$234,3,FALSE)</f>
        <v>Odukalns ūdenstornis, ``Odiņš``, Odukalns, Ķekavas pag., Ķekavas nov.,</v>
      </c>
      <c r="U137" s="59" t="str">
        <f>VLOOKUP(A137,Rīcibas_plans!$B$5:$Q$234,14,FALSE)</f>
        <v>Ūdens torņa vizuālā stāvokļa uzturēšana/uzlabošana. Pasīvās atpūtas vietas labiekārtošana.</v>
      </c>
    </row>
    <row r="138" spans="1:21" ht="43.15">
      <c r="A138" s="58" t="s">
        <v>181</v>
      </c>
      <c r="B138">
        <v>10000</v>
      </c>
      <c r="C138">
        <v>500</v>
      </c>
      <c r="D138">
        <v>60000</v>
      </c>
      <c r="E138">
        <v>30000</v>
      </c>
      <c r="F138">
        <v>7</v>
      </c>
      <c r="J138" s="61">
        <f t="shared" si="23"/>
        <v>0.05</v>
      </c>
      <c r="K138" s="60">
        <f t="shared" si="24"/>
        <v>6</v>
      </c>
      <c r="L138" s="60">
        <f t="shared" si="25"/>
        <v>3</v>
      </c>
      <c r="M138">
        <f t="shared" si="26"/>
        <v>149</v>
      </c>
      <c r="N138">
        <f t="shared" si="27"/>
        <v>134</v>
      </c>
      <c r="O138">
        <f t="shared" si="28"/>
        <v>107</v>
      </c>
      <c r="P138">
        <f t="shared" si="29"/>
        <v>75</v>
      </c>
      <c r="Q138">
        <f t="shared" si="30"/>
        <v>73</v>
      </c>
      <c r="R138">
        <f t="shared" si="31"/>
        <v>51</v>
      </c>
      <c r="S138" s="61">
        <f t="shared" si="32"/>
        <v>98.166666666666671</v>
      </c>
      <c r="T138" s="59" t="str">
        <f>VLOOKUP(A138,Rīcibas_plans!$B$4:$D$234,3,FALSE)</f>
        <v>Odukalns ūdenstornis, ``Odiņš``, Odukalns, Ķekavas pag., Ķekavas nov.,</v>
      </c>
      <c r="U138" s="59" t="str">
        <f>VLOOKUP(A138,Rīcibas_plans!$B$5:$Q$234,14,FALSE)</f>
        <v xml:space="preserve">Odukalna torņa un apkārtējās teritorijas pārbūve </v>
      </c>
    </row>
    <row r="139" spans="1:21" ht="28.9">
      <c r="A139" s="58" t="s">
        <v>182</v>
      </c>
      <c r="C139">
        <v>7000</v>
      </c>
      <c r="D139">
        <v>1260000</v>
      </c>
      <c r="E139">
        <v>63000</v>
      </c>
      <c r="F139">
        <v>7</v>
      </c>
      <c r="J139" s="61" t="str">
        <f t="shared" si="23"/>
        <v/>
      </c>
      <c r="K139" s="60" t="str">
        <f t="shared" si="24"/>
        <v/>
      </c>
      <c r="L139" s="60" t="str">
        <f t="shared" si="25"/>
        <v/>
      </c>
      <c r="M139">
        <f t="shared" si="26"/>
        <v>4</v>
      </c>
      <c r="N139">
        <f t="shared" si="27"/>
        <v>14</v>
      </c>
      <c r="O139">
        <f t="shared" si="28"/>
        <v>69</v>
      </c>
      <c r="P139" t="e">
        <f t="shared" si="29"/>
        <v>#VALUE!</v>
      </c>
      <c r="Q139" t="e">
        <f t="shared" si="30"/>
        <v>#VALUE!</v>
      </c>
      <c r="R139" t="e">
        <f t="shared" si="31"/>
        <v>#VALUE!</v>
      </c>
      <c r="S139" s="61" t="e">
        <f t="shared" si="32"/>
        <v>#VALUE!</v>
      </c>
      <c r="T139" s="59" t="str">
        <f>VLOOKUP(A139,Rīcibas_plans!$B$4:$D$234,3,FALSE)</f>
        <v>Ķekavas pašvaldības priekšlaukums, pie ēkas Gaismas ielā 19-k-9</v>
      </c>
      <c r="U139" s="59" t="str">
        <f>VLOOKUP(A139,Rīcibas_plans!$B$5:$Q$234,14,FALSE)</f>
        <v xml:space="preserve">- </v>
      </c>
    </row>
    <row r="140" spans="1:21" ht="115.15">
      <c r="A140" s="58" t="s">
        <v>183</v>
      </c>
      <c r="B140">
        <v>13080</v>
      </c>
      <c r="C140">
        <v>400</v>
      </c>
      <c r="D140">
        <v>192000</v>
      </c>
      <c r="E140">
        <v>96000</v>
      </c>
      <c r="F140">
        <v>1</v>
      </c>
      <c r="J140" s="61">
        <f t="shared" si="23"/>
        <v>3.0581039755351681E-2</v>
      </c>
      <c r="K140" s="60">
        <f t="shared" si="24"/>
        <v>14.678899082568808</v>
      </c>
      <c r="L140" s="60">
        <f t="shared" si="25"/>
        <v>7.3394495412844041</v>
      </c>
      <c r="M140">
        <f t="shared" si="26"/>
        <v>173</v>
      </c>
      <c r="N140">
        <f t="shared" si="27"/>
        <v>73</v>
      </c>
      <c r="O140">
        <f t="shared" si="28"/>
        <v>54</v>
      </c>
      <c r="P140">
        <f t="shared" si="29"/>
        <v>98</v>
      </c>
      <c r="Q140">
        <f t="shared" si="30"/>
        <v>43</v>
      </c>
      <c r="R140">
        <f t="shared" si="31"/>
        <v>30</v>
      </c>
      <c r="S140" s="61">
        <f t="shared" si="32"/>
        <v>78.5</v>
      </c>
      <c r="T140" s="59" t="str">
        <f>VLOOKUP(A140,Rīcibas_plans!$B$4:$D$234,3,FALSE)</f>
        <v>Ķekavas autobusu,mikroautobusu galapietura pie ēkas Gaismas ielā 21</v>
      </c>
      <c r="U140" s="59" t="str">
        <f>VLOOKUP(A140,Rīcibas_plans!$B$5:$Q$234,14,FALSE)</f>
        <v>Nepieciešama laukuma rekonstrukcija un funkcionālā zonējuma izmaiņas - gājēju zona, sabiedriskā transporta uzgaidīšanas zona, autobusu apstāšanās laukums, apstādījumu zona</v>
      </c>
    </row>
    <row r="141" spans="1:21" ht="86.45">
      <c r="A141" s="58" t="s">
        <v>184</v>
      </c>
      <c r="B141">
        <v>495000</v>
      </c>
      <c r="C141">
        <v>4000</v>
      </c>
      <c r="D141">
        <v>480000</v>
      </c>
      <c r="E141">
        <v>48000</v>
      </c>
      <c r="F141">
        <v>1</v>
      </c>
      <c r="J141" s="61">
        <f t="shared" si="23"/>
        <v>8.0808080808080808E-3</v>
      </c>
      <c r="K141" s="60">
        <f t="shared" si="24"/>
        <v>0.96969696969696972</v>
      </c>
      <c r="L141" s="60">
        <f t="shared" si="25"/>
        <v>9.696969696969697E-2</v>
      </c>
      <c r="M141">
        <f t="shared" si="26"/>
        <v>32</v>
      </c>
      <c r="N141">
        <f t="shared" si="27"/>
        <v>35</v>
      </c>
      <c r="O141">
        <f t="shared" si="28"/>
        <v>86</v>
      </c>
      <c r="P141">
        <f t="shared" si="29"/>
        <v>129</v>
      </c>
      <c r="Q141">
        <f t="shared" si="30"/>
        <v>119</v>
      </c>
      <c r="R141">
        <f t="shared" si="31"/>
        <v>158</v>
      </c>
      <c r="S141" s="61">
        <f t="shared" si="32"/>
        <v>93.166666666666671</v>
      </c>
      <c r="T141" s="59" t="str">
        <f>VLOOKUP(A141,Rīcibas_plans!$B$4:$D$234,3,FALSE)</f>
        <v>Jauno ideju centrs, Skolas iela 2</v>
      </c>
      <c r="U141" s="59" t="str">
        <f>VLOOKUP(A141,Rīcibas_plans!$B$5:$Q$234,14,FALSE)</f>
        <v>Papildināt teritoriju ar lēzenu gājēju savienojumu (pandusu) ar Ķekavas parka teritorijas gājēju ceļiem, lietišķās atpūtas vieta (S tipa)</v>
      </c>
    </row>
    <row r="142" spans="1:21" ht="43.15">
      <c r="A142" s="58" t="s">
        <v>185</v>
      </c>
      <c r="B142">
        <v>2765</v>
      </c>
      <c r="C142">
        <v>3600</v>
      </c>
      <c r="D142">
        <v>648000</v>
      </c>
      <c r="E142">
        <v>32400</v>
      </c>
      <c r="F142">
        <v>1</v>
      </c>
      <c r="J142" s="61">
        <f t="shared" si="23"/>
        <v>1.3019891500904159</v>
      </c>
      <c r="K142" s="60">
        <f t="shared" si="24"/>
        <v>234.35804701627487</v>
      </c>
      <c r="L142" s="60">
        <f t="shared" si="25"/>
        <v>11.717902350813743</v>
      </c>
      <c r="M142">
        <f t="shared" si="26"/>
        <v>39</v>
      </c>
      <c r="N142">
        <f t="shared" si="27"/>
        <v>26</v>
      </c>
      <c r="O142">
        <f t="shared" si="28"/>
        <v>106</v>
      </c>
      <c r="P142">
        <f t="shared" si="29"/>
        <v>9</v>
      </c>
      <c r="Q142">
        <f t="shared" si="30"/>
        <v>11</v>
      </c>
      <c r="R142">
        <f t="shared" si="31"/>
        <v>19</v>
      </c>
      <c r="S142" s="61">
        <f t="shared" si="32"/>
        <v>35</v>
      </c>
      <c r="T142" s="59" t="str">
        <f>VLOOKUP(A142,Rīcibas_plans!$B$4:$D$234,3,FALSE)</f>
        <v>Ķekavas Ambulances priekšlaukums, Gaismas iela 15</v>
      </c>
      <c r="U142" s="59" t="str">
        <f>VLOOKUP(A142,Rīcibas_plans!$B$5:$Q$234,14,FALSE)</f>
        <v>Iezīmēt ambulances ieejas zonu, lietišķās atpūtas vieta (S tips) pie ieejas.</v>
      </c>
    </row>
    <row r="143" spans="1:21" ht="28.9">
      <c r="A143" s="58" t="s">
        <v>186</v>
      </c>
      <c r="B143">
        <v>7160</v>
      </c>
      <c r="C143">
        <v>4000</v>
      </c>
      <c r="D143">
        <v>240000</v>
      </c>
      <c r="E143">
        <v>120000</v>
      </c>
      <c r="F143">
        <v>1</v>
      </c>
      <c r="J143" s="61">
        <f t="shared" si="23"/>
        <v>0.55865921787709494</v>
      </c>
      <c r="K143" s="60">
        <f t="shared" si="24"/>
        <v>33.519553072625698</v>
      </c>
      <c r="L143" s="60">
        <f t="shared" si="25"/>
        <v>16.759776536312849</v>
      </c>
      <c r="M143">
        <f t="shared" si="26"/>
        <v>32</v>
      </c>
      <c r="N143">
        <f t="shared" si="27"/>
        <v>66</v>
      </c>
      <c r="O143">
        <f t="shared" si="28"/>
        <v>42</v>
      </c>
      <c r="P143">
        <f t="shared" si="29"/>
        <v>16</v>
      </c>
      <c r="Q143">
        <f t="shared" si="30"/>
        <v>23</v>
      </c>
      <c r="R143">
        <f t="shared" si="31"/>
        <v>14</v>
      </c>
      <c r="S143" s="61">
        <f t="shared" si="32"/>
        <v>32.166666666666664</v>
      </c>
      <c r="T143" s="59" t="str">
        <f>VLOOKUP(A143,Rīcibas_plans!$B$4:$D$234,3,FALSE)</f>
        <v>Jauno ideju centrs, Skolas iela 2</v>
      </c>
      <c r="U143" s="59" t="str">
        <f>VLOOKUP(A143,Rīcibas_plans!$B$5:$Q$234,14,FALSE)</f>
        <v xml:space="preserve">Lietišķās atpūtas vietas izveide </v>
      </c>
    </row>
    <row r="144" spans="1:21" ht="72">
      <c r="A144" s="58" t="s">
        <v>187</v>
      </c>
      <c r="C144">
        <v>6000</v>
      </c>
      <c r="D144">
        <v>1440000</v>
      </c>
      <c r="E144">
        <v>216000</v>
      </c>
      <c r="F144">
        <v>2</v>
      </c>
      <c r="J144" s="61" t="str">
        <f t="shared" si="23"/>
        <v/>
      </c>
      <c r="K144" s="60" t="str">
        <f t="shared" si="24"/>
        <v/>
      </c>
      <c r="L144" s="60" t="str">
        <f t="shared" si="25"/>
        <v/>
      </c>
      <c r="M144">
        <f t="shared" si="26"/>
        <v>5</v>
      </c>
      <c r="N144">
        <f t="shared" si="27"/>
        <v>9</v>
      </c>
      <c r="O144">
        <f t="shared" si="28"/>
        <v>31</v>
      </c>
      <c r="P144" t="e">
        <f t="shared" si="29"/>
        <v>#VALUE!</v>
      </c>
      <c r="Q144" t="e">
        <f t="shared" si="30"/>
        <v>#VALUE!</v>
      </c>
      <c r="R144" t="e">
        <f t="shared" si="31"/>
        <v>#VALUE!</v>
      </c>
      <c r="S144" s="61" t="e">
        <f t="shared" si="32"/>
        <v>#VALUE!</v>
      </c>
      <c r="T144" s="59" t="str">
        <f>VLOOKUP(A144,Rīcibas_plans!$B$4:$D$234,3,FALSE)</f>
        <v>Gājēju iela svētku laikā - Skolas iela</v>
      </c>
      <c r="U144" s="59" t="str">
        <f>VLOOKUP(A144,Rīcibas_plans!$B$5:$Q$234,14,FALSE)</f>
        <v>Esošā autoceļa pārveidošana par gājēju ielu, savienojot Ābeļdārza teritoriju ar JIC un Ķekavas parku.</v>
      </c>
    </row>
    <row r="145" spans="1:21" ht="72">
      <c r="A145" s="58" t="s">
        <v>188</v>
      </c>
      <c r="C145">
        <v>6000</v>
      </c>
      <c r="D145">
        <v>720000</v>
      </c>
      <c r="E145">
        <v>108000</v>
      </c>
      <c r="F145">
        <v>2</v>
      </c>
      <c r="J145" s="61" t="str">
        <f t="shared" si="23"/>
        <v/>
      </c>
      <c r="K145" s="60" t="str">
        <f t="shared" si="24"/>
        <v/>
      </c>
      <c r="L145" s="60" t="str">
        <f t="shared" si="25"/>
        <v/>
      </c>
      <c r="M145">
        <f t="shared" si="26"/>
        <v>5</v>
      </c>
      <c r="N145">
        <f t="shared" si="27"/>
        <v>20</v>
      </c>
      <c r="O145">
        <f t="shared" si="28"/>
        <v>46</v>
      </c>
      <c r="P145" t="e">
        <f t="shared" si="29"/>
        <v>#VALUE!</v>
      </c>
      <c r="Q145" t="e">
        <f t="shared" si="30"/>
        <v>#VALUE!</v>
      </c>
      <c r="R145" t="e">
        <f t="shared" si="31"/>
        <v>#VALUE!</v>
      </c>
      <c r="S145" s="61" t="e">
        <f t="shared" si="32"/>
        <v>#VALUE!</v>
      </c>
      <c r="T145" s="59" t="str">
        <f>VLOOKUP(A145,Rīcibas_plans!$B$4:$D$234,3,FALSE)</f>
        <v>Gājēju iela svētku laikā - Skolas iela</v>
      </c>
      <c r="U145" s="59" t="str">
        <f>VLOOKUP(A145,Rīcibas_plans!$B$5:$Q$234,14,FALSE)</f>
        <v>Esošā autoceļa pārveidošana par gājēju ielu, savienojot Ābeļdārza teritoriju ar JIC un Ķekavas parku.</v>
      </c>
    </row>
    <row r="146" spans="1:21" ht="86.45">
      <c r="A146" s="58" t="s">
        <v>189</v>
      </c>
      <c r="C146">
        <v>1000</v>
      </c>
      <c r="D146">
        <v>240000</v>
      </c>
      <c r="E146">
        <v>36000</v>
      </c>
      <c r="F146">
        <v>2</v>
      </c>
      <c r="J146" s="61" t="str">
        <f t="shared" si="23"/>
        <v/>
      </c>
      <c r="K146" s="60" t="str">
        <f t="shared" si="24"/>
        <v/>
      </c>
      <c r="L146" s="60" t="str">
        <f t="shared" si="25"/>
        <v/>
      </c>
      <c r="M146">
        <f t="shared" si="26"/>
        <v>93</v>
      </c>
      <c r="N146">
        <f t="shared" si="27"/>
        <v>66</v>
      </c>
      <c r="O146">
        <f t="shared" si="28"/>
        <v>99</v>
      </c>
      <c r="P146" t="e">
        <f t="shared" si="29"/>
        <v>#VALUE!</v>
      </c>
      <c r="Q146" t="e">
        <f t="shared" si="30"/>
        <v>#VALUE!</v>
      </c>
      <c r="R146" t="e">
        <f t="shared" si="31"/>
        <v>#VALUE!</v>
      </c>
      <c r="S146" s="61" t="e">
        <f t="shared" si="32"/>
        <v>#VALUE!</v>
      </c>
      <c r="T146" s="59" t="str">
        <f>VLOOKUP(A146,Rīcibas_plans!$B$4:$D$234,3,FALSE)</f>
        <v>Gājēju ietve no Ķekavas uz Odukalna pieturu gar valsts autoceļu A7 (Rīga- Bauska- Lietuvas robeža)</v>
      </c>
      <c r="U146" s="59" t="str">
        <f>VLOOKUP(A146,Rīcibas_plans!$B$5:$Q$234,14,FALSE)</f>
        <v>Apgaismotas  ietves izbūve no Ķekavas sabiedriskā transporta pieturas līdz Odukalna sabiedriskā transporta pieturai (līdz gājēju pārejai)</v>
      </c>
    </row>
    <row r="147" spans="1:21" ht="86.45">
      <c r="A147" s="58" t="s">
        <v>190</v>
      </c>
      <c r="C147">
        <v>1000</v>
      </c>
      <c r="D147">
        <v>240000</v>
      </c>
      <c r="E147">
        <v>60000</v>
      </c>
      <c r="F147">
        <v>7</v>
      </c>
      <c r="J147" s="61" t="str">
        <f t="shared" si="23"/>
        <v/>
      </c>
      <c r="K147" s="60" t="str">
        <f t="shared" si="24"/>
        <v/>
      </c>
      <c r="L147" s="60" t="str">
        <f t="shared" si="25"/>
        <v/>
      </c>
      <c r="M147">
        <f t="shared" si="26"/>
        <v>93</v>
      </c>
      <c r="N147">
        <f t="shared" si="27"/>
        <v>66</v>
      </c>
      <c r="O147">
        <f t="shared" si="28"/>
        <v>71</v>
      </c>
      <c r="P147" t="e">
        <f t="shared" si="29"/>
        <v>#VALUE!</v>
      </c>
      <c r="Q147" t="e">
        <f t="shared" si="30"/>
        <v>#VALUE!</v>
      </c>
      <c r="R147" t="e">
        <f t="shared" si="31"/>
        <v>#VALUE!</v>
      </c>
      <c r="S147" s="61" t="e">
        <f t="shared" si="32"/>
        <v>#VALUE!</v>
      </c>
      <c r="T147" s="59" t="str">
        <f>VLOOKUP(A147,Rīcibas_plans!$B$4:$D$234,3,FALSE)</f>
        <v>Gājēju ietve - Ziemeļu iela</v>
      </c>
      <c r="U147" s="59" t="str">
        <f>VLOOKUP(A147,Rīcibas_plans!$B$5:$Q$234,14,FALSE)</f>
        <v>Apgaismotas ietves izbūve no A7 līdz putnu fabrikai (savienojums  ar plānoto  gājēju un velosipēdu ceļu). Izvietot lietišķās atpūtas vietas (S tips).</v>
      </c>
    </row>
    <row r="148" spans="1:21" ht="86.45">
      <c r="A148" s="58" t="s">
        <v>191</v>
      </c>
      <c r="B148">
        <v>8295</v>
      </c>
      <c r="C148">
        <v>1000</v>
      </c>
      <c r="D148">
        <v>120000</v>
      </c>
      <c r="E148">
        <v>19200</v>
      </c>
      <c r="F148">
        <v>7</v>
      </c>
      <c r="J148" s="61">
        <f t="shared" si="23"/>
        <v>0.12055455093429777</v>
      </c>
      <c r="K148" s="60">
        <f t="shared" si="24"/>
        <v>14.466546112115733</v>
      </c>
      <c r="L148" s="60">
        <f t="shared" si="25"/>
        <v>2.3146473779385173</v>
      </c>
      <c r="M148">
        <f t="shared" si="26"/>
        <v>93</v>
      </c>
      <c r="N148">
        <f t="shared" si="27"/>
        <v>95</v>
      </c>
      <c r="O148">
        <f t="shared" si="28"/>
        <v>132</v>
      </c>
      <c r="P148">
        <f t="shared" si="29"/>
        <v>43</v>
      </c>
      <c r="Q148">
        <f t="shared" si="30"/>
        <v>44</v>
      </c>
      <c r="R148">
        <f t="shared" si="31"/>
        <v>60</v>
      </c>
      <c r="S148" s="61">
        <f t="shared" si="32"/>
        <v>77.833333333333329</v>
      </c>
      <c r="T148" s="59" t="str">
        <f>VLOOKUP(A148,Rīcibas_plans!$B$4:$D$234,3,FALSE)</f>
        <v>Gājēju ietve - Ziemeļu iela</v>
      </c>
      <c r="U148" s="59" t="str">
        <f>VLOOKUP(A148,Rīcibas_plans!$B$5:$Q$234,14,FALSE)</f>
        <v>Apgaismotas ietves izbūve no A7 līdz putnu fabrikai (savienojums  ar plānoto  gājēju un velosipēdu ceļu). Izvietot lietišķās atpūtas vietas.</v>
      </c>
    </row>
    <row r="149" spans="1:21" ht="72">
      <c r="A149" s="58" t="s">
        <v>192</v>
      </c>
      <c r="B149">
        <v>814000</v>
      </c>
      <c r="C149">
        <v>600</v>
      </c>
      <c r="D149">
        <v>216000</v>
      </c>
      <c r="E149">
        <v>54000</v>
      </c>
      <c r="F149">
        <v>3</v>
      </c>
      <c r="J149" s="61">
        <f t="shared" si="23"/>
        <v>7.3710073710073708E-4</v>
      </c>
      <c r="K149" s="60">
        <f t="shared" si="24"/>
        <v>0.26535626535626533</v>
      </c>
      <c r="L149" s="60">
        <f t="shared" si="25"/>
        <v>6.6339066339066333E-2</v>
      </c>
      <c r="M149">
        <f t="shared" si="26"/>
        <v>140</v>
      </c>
      <c r="N149">
        <f t="shared" si="27"/>
        <v>72</v>
      </c>
      <c r="O149">
        <f t="shared" si="28"/>
        <v>76</v>
      </c>
      <c r="P149">
        <f t="shared" si="29"/>
        <v>185</v>
      </c>
      <c r="Q149">
        <f t="shared" si="30"/>
        <v>158</v>
      </c>
      <c r="R149">
        <f t="shared" si="31"/>
        <v>171</v>
      </c>
      <c r="S149" s="61">
        <f t="shared" si="32"/>
        <v>133.66666666666666</v>
      </c>
      <c r="T149" s="59" t="str">
        <f>VLOOKUP(A149,Rīcibas_plans!$B$4:$D$234,3,FALSE)</f>
        <v xml:space="preserve">Gājēju ietve - Mazā senču iela,  Atmodas iela, </v>
      </c>
      <c r="U149" s="59" t="str">
        <f>VLOOKUP(A149,Rīcibas_plans!$B$5:$Q$234,14,FALSE)</f>
        <v>Apgaismotas ietves izbūve no Ziemeļu ielas līdz Pliederu ielai. Izvietot lietišķās atpūtas vietas (S tips).</v>
      </c>
    </row>
    <row r="150" spans="1:21" ht="72">
      <c r="A150" s="58" t="s">
        <v>193</v>
      </c>
      <c r="B150">
        <v>11060</v>
      </c>
      <c r="C150">
        <v>600</v>
      </c>
      <c r="D150">
        <v>72000</v>
      </c>
      <c r="E150">
        <v>10800</v>
      </c>
      <c r="F150">
        <v>3</v>
      </c>
      <c r="J150" s="61">
        <f t="shared" si="23"/>
        <v>5.4249547920433995E-2</v>
      </c>
      <c r="K150" s="60">
        <f t="shared" si="24"/>
        <v>6.5099457504520792</v>
      </c>
      <c r="L150" s="60">
        <f t="shared" si="25"/>
        <v>0.97649186256781195</v>
      </c>
      <c r="M150">
        <f t="shared" si="26"/>
        <v>140</v>
      </c>
      <c r="N150">
        <f t="shared" si="27"/>
        <v>130</v>
      </c>
      <c r="O150">
        <f t="shared" si="28"/>
        <v>158</v>
      </c>
      <c r="P150">
        <f t="shared" si="29"/>
        <v>71</v>
      </c>
      <c r="Q150">
        <f t="shared" si="30"/>
        <v>72</v>
      </c>
      <c r="R150">
        <f t="shared" si="31"/>
        <v>93</v>
      </c>
      <c r="S150" s="61">
        <f t="shared" si="32"/>
        <v>110.66666666666667</v>
      </c>
      <c r="T150" s="59" t="str">
        <f>VLOOKUP(A150,Rīcibas_plans!$B$4:$D$234,3,FALSE)</f>
        <v xml:space="preserve">Gājēju ietve - Mazā senču iela,  Atmodas iela, </v>
      </c>
      <c r="U150" s="59" t="str">
        <f>VLOOKUP(A150,Rīcibas_plans!$B$5:$Q$234,14,FALSE)</f>
        <v>Apgaismotas ietves izbūve no Ziemeļu ielas līdz Pliederu ielai. Izvietot lietišķās atpūtas vietas (S tips).</v>
      </c>
    </row>
    <row r="151" spans="1:21" ht="28.9">
      <c r="A151" s="58" t="s">
        <v>194</v>
      </c>
      <c r="B151">
        <v>11060</v>
      </c>
      <c r="C151">
        <v>700</v>
      </c>
      <c r="D151">
        <v>252000</v>
      </c>
      <c r="E151">
        <v>63000</v>
      </c>
      <c r="F151">
        <v>1</v>
      </c>
      <c r="J151" s="61">
        <f t="shared" si="23"/>
        <v>6.3291139240506333E-2</v>
      </c>
      <c r="K151" s="60">
        <f t="shared" si="24"/>
        <v>22.784810126582279</v>
      </c>
      <c r="L151" s="60">
        <f t="shared" si="25"/>
        <v>5.6962025316455698</v>
      </c>
      <c r="M151">
        <f t="shared" si="26"/>
        <v>134</v>
      </c>
      <c r="N151">
        <f t="shared" si="27"/>
        <v>65</v>
      </c>
      <c r="O151">
        <f t="shared" si="28"/>
        <v>69</v>
      </c>
      <c r="P151">
        <f t="shared" si="29"/>
        <v>67</v>
      </c>
      <c r="Q151">
        <f t="shared" si="30"/>
        <v>30</v>
      </c>
      <c r="R151">
        <f t="shared" si="31"/>
        <v>36</v>
      </c>
      <c r="S151" s="61">
        <f t="shared" si="32"/>
        <v>66.833333333333329</v>
      </c>
      <c r="T151" s="59" t="str">
        <f>VLOOKUP(A151,Rīcibas_plans!$B$4:$D$234,3,FALSE)</f>
        <v>Pliederu ielas lietišķais labiekārtojums</v>
      </c>
      <c r="U151" s="59" t="str">
        <f>VLOOKUP(A151,Rīcibas_plans!$B$5:$Q$234,14,FALSE)</f>
        <v>Izvietot lietišķās atpūtas vietas (S tips).</v>
      </c>
    </row>
    <row r="152" spans="1:21" ht="43.15">
      <c r="A152" s="58" t="s">
        <v>195</v>
      </c>
      <c r="B152">
        <v>550000</v>
      </c>
      <c r="C152">
        <v>6000</v>
      </c>
      <c r="D152">
        <v>2160000</v>
      </c>
      <c r="E152">
        <v>648000</v>
      </c>
      <c r="F152">
        <v>7</v>
      </c>
      <c r="J152" s="61">
        <f t="shared" si="23"/>
        <v>1.090909090909091E-2</v>
      </c>
      <c r="K152" s="60">
        <f t="shared" si="24"/>
        <v>3.9272727272727272</v>
      </c>
      <c r="L152" s="60">
        <f t="shared" si="25"/>
        <v>1.1781818181818182</v>
      </c>
      <c r="M152">
        <f t="shared" si="26"/>
        <v>5</v>
      </c>
      <c r="N152">
        <f t="shared" si="27"/>
        <v>2</v>
      </c>
      <c r="O152">
        <f t="shared" si="28"/>
        <v>5</v>
      </c>
      <c r="P152">
        <f t="shared" si="29"/>
        <v>119</v>
      </c>
      <c r="Q152">
        <f t="shared" si="30"/>
        <v>85</v>
      </c>
      <c r="R152">
        <f t="shared" si="31"/>
        <v>84</v>
      </c>
      <c r="S152" s="61">
        <f t="shared" si="32"/>
        <v>50</v>
      </c>
      <c r="T152" s="59" t="str">
        <f>VLOOKUP(A152,Rīcibas_plans!$B$4:$D$234,3,FALSE)</f>
        <v>Nākotnes ielas gājēju un velosipēdistu infrastruktūra</v>
      </c>
      <c r="U152" s="59" t="str">
        <f>VLOOKUP(A152,Rīcibas_plans!$B$5:$Q$234,14,FALSE)</f>
        <v xml:space="preserve">Apgaismota  gājēju ietve no Kanāla ielas līdz Jaunie Ķekavas kapi </v>
      </c>
    </row>
    <row r="153" spans="1:21" ht="72">
      <c r="A153" s="58" t="s">
        <v>196</v>
      </c>
      <c r="B153">
        <v>22120</v>
      </c>
      <c r="C153">
        <v>6000</v>
      </c>
      <c r="D153">
        <v>2160000</v>
      </c>
      <c r="E153">
        <v>324000</v>
      </c>
      <c r="F153">
        <v>1</v>
      </c>
      <c r="J153" s="61">
        <f t="shared" si="23"/>
        <v>0.27124773960216997</v>
      </c>
      <c r="K153" s="60">
        <f t="shared" si="24"/>
        <v>97.649186256781192</v>
      </c>
      <c r="L153" s="60">
        <f t="shared" si="25"/>
        <v>14.647377938517179</v>
      </c>
      <c r="M153">
        <f t="shared" si="26"/>
        <v>5</v>
      </c>
      <c r="N153">
        <f t="shared" si="27"/>
        <v>2</v>
      </c>
      <c r="O153">
        <f t="shared" si="28"/>
        <v>25</v>
      </c>
      <c r="P153">
        <f t="shared" si="29"/>
        <v>27</v>
      </c>
      <c r="Q153">
        <f t="shared" si="30"/>
        <v>14</v>
      </c>
      <c r="R153">
        <f t="shared" si="31"/>
        <v>16</v>
      </c>
      <c r="S153" s="61">
        <f t="shared" si="32"/>
        <v>14.833333333333334</v>
      </c>
      <c r="T153" s="59" t="str">
        <f>VLOOKUP(A153,Rīcibas_plans!$B$4:$D$234,3,FALSE)</f>
        <v>Nākotnes ielas lietišķais labiekārtojums</v>
      </c>
      <c r="U153" s="59" t="str">
        <f>VLOOKUP(A153,Rīcibas_plans!$B$5:$Q$234,14,FALSE)</f>
        <v>Izvietot lietišķās atpūtas vietas (S/M tips) Nākotnes ielas garumā līdz Jaunie Ķekavas kapi (80700110113).</v>
      </c>
    </row>
    <row r="154" spans="1:21" ht="43.15">
      <c r="A154" s="58" t="s">
        <v>197</v>
      </c>
      <c r="B154">
        <v>1100000</v>
      </c>
      <c r="C154">
        <v>600</v>
      </c>
      <c r="D154">
        <v>108000</v>
      </c>
      <c r="E154">
        <v>108000</v>
      </c>
      <c r="F154">
        <v>7</v>
      </c>
      <c r="J154" s="61">
        <f t="shared" si="23"/>
        <v>5.4545454545454548E-4</v>
      </c>
      <c r="K154" s="60">
        <f t="shared" si="24"/>
        <v>9.8181818181818176E-2</v>
      </c>
      <c r="L154" s="60">
        <f t="shared" si="25"/>
        <v>9.8181818181818176E-2</v>
      </c>
      <c r="M154">
        <f t="shared" si="26"/>
        <v>140</v>
      </c>
      <c r="N154">
        <f t="shared" si="27"/>
        <v>112</v>
      </c>
      <c r="O154">
        <f t="shared" si="28"/>
        <v>46</v>
      </c>
      <c r="P154">
        <f t="shared" si="29"/>
        <v>191</v>
      </c>
      <c r="Q154">
        <f t="shared" si="30"/>
        <v>176</v>
      </c>
      <c r="R154">
        <f t="shared" si="31"/>
        <v>157</v>
      </c>
      <c r="S154" s="61">
        <f t="shared" si="32"/>
        <v>137</v>
      </c>
      <c r="T154" s="59" t="str">
        <f>VLOOKUP(A154,Rīcibas_plans!$B$4:$D$234,3,FALSE)</f>
        <v>Pļavu ielas gājēju infrastruktūra</v>
      </c>
      <c r="U154" s="59" t="str">
        <f>VLOOKUP(A154,Rīcibas_plans!$B$5:$Q$234,14,FALSE)</f>
        <v>Ietves izbūve no  A7 līdz  Rīgas HES. Izvietot lietišķās atpūtas vietas (S tips).</v>
      </c>
    </row>
    <row r="155" spans="1:21" ht="43.15">
      <c r="A155" s="58" t="s">
        <v>198</v>
      </c>
      <c r="B155">
        <v>11060</v>
      </c>
      <c r="C155">
        <v>600</v>
      </c>
      <c r="D155">
        <v>108000</v>
      </c>
      <c r="E155">
        <v>16200</v>
      </c>
      <c r="F155">
        <v>7</v>
      </c>
      <c r="J155" s="61">
        <f t="shared" si="23"/>
        <v>5.4249547920433995E-2</v>
      </c>
      <c r="K155" s="60">
        <f t="shared" si="24"/>
        <v>9.7649186256781189</v>
      </c>
      <c r="L155" s="60">
        <f t="shared" si="25"/>
        <v>1.4647377938517179</v>
      </c>
      <c r="M155">
        <f t="shared" si="26"/>
        <v>140</v>
      </c>
      <c r="N155">
        <f t="shared" si="27"/>
        <v>112</v>
      </c>
      <c r="O155">
        <f t="shared" si="28"/>
        <v>146</v>
      </c>
      <c r="P155">
        <f t="shared" si="29"/>
        <v>71</v>
      </c>
      <c r="Q155">
        <f t="shared" si="30"/>
        <v>54</v>
      </c>
      <c r="R155">
        <f t="shared" si="31"/>
        <v>76</v>
      </c>
      <c r="S155" s="61">
        <f t="shared" si="32"/>
        <v>99.833333333333329</v>
      </c>
      <c r="T155" s="59" t="str">
        <f>VLOOKUP(A155,Rīcibas_plans!$B$4:$D$234,3,FALSE)</f>
        <v>Pļavu ielas lietišķais labiekārtojums</v>
      </c>
      <c r="U155" s="59" t="str">
        <f>VLOOKUP(A155,Rīcibas_plans!$B$5:$Q$234,14,FALSE)</f>
        <v>Ietves izbūve no  A7 līdz  Rīgas HES. Izvietot lietišķās atpūtas vietas (S tips).</v>
      </c>
    </row>
    <row r="156" spans="1:21" ht="57.6">
      <c r="A156" s="58" t="s">
        <v>199</v>
      </c>
      <c r="B156">
        <v>14320</v>
      </c>
      <c r="C156">
        <v>6000</v>
      </c>
      <c r="D156">
        <v>1440000</v>
      </c>
      <c r="E156">
        <v>360000</v>
      </c>
      <c r="F156">
        <v>1</v>
      </c>
      <c r="J156" s="61">
        <f t="shared" si="23"/>
        <v>0.41899441340782123</v>
      </c>
      <c r="K156" s="60">
        <f t="shared" si="24"/>
        <v>100.55865921787709</v>
      </c>
      <c r="L156" s="60">
        <f t="shared" si="25"/>
        <v>25.139664804469273</v>
      </c>
      <c r="M156">
        <f t="shared" si="26"/>
        <v>5</v>
      </c>
      <c r="N156">
        <f t="shared" si="27"/>
        <v>9</v>
      </c>
      <c r="O156">
        <f t="shared" si="28"/>
        <v>18</v>
      </c>
      <c r="P156">
        <f t="shared" si="29"/>
        <v>18</v>
      </c>
      <c r="Q156">
        <f t="shared" si="30"/>
        <v>13</v>
      </c>
      <c r="R156">
        <f t="shared" si="31"/>
        <v>12</v>
      </c>
      <c r="S156" s="61">
        <f t="shared" si="32"/>
        <v>12.5</v>
      </c>
      <c r="T156" s="59" t="str">
        <f>VLOOKUP(A156,Rīcibas_plans!$B$4:$D$234,3,FALSE)</f>
        <v>Sabiedriskā transporta pietura "Ķekava" pie autoceļa A7</v>
      </c>
      <c r="U156" s="59" t="str">
        <f>VLOOKUP(A156,Rīcibas_plans!$B$5:$Q$234,14,FALSE)</f>
        <v>Veikt pieturas pārbūvi, veidojot kā L tipa sabiedriskā transporta pieturu.</v>
      </c>
    </row>
    <row r="157" spans="1:21" ht="57.6">
      <c r="A157" s="58" t="s">
        <v>200</v>
      </c>
      <c r="B157">
        <v>7160</v>
      </c>
      <c r="C157">
        <v>6000</v>
      </c>
      <c r="D157">
        <v>1440000</v>
      </c>
      <c r="E157">
        <v>720000</v>
      </c>
      <c r="F157">
        <v>1</v>
      </c>
      <c r="J157" s="61">
        <f t="shared" si="23"/>
        <v>0.83798882681564246</v>
      </c>
      <c r="K157" s="60">
        <f t="shared" si="24"/>
        <v>201.11731843575419</v>
      </c>
      <c r="L157" s="60">
        <f t="shared" si="25"/>
        <v>100.55865921787709</v>
      </c>
      <c r="M157">
        <f t="shared" si="26"/>
        <v>5</v>
      </c>
      <c r="N157">
        <f t="shared" si="27"/>
        <v>9</v>
      </c>
      <c r="O157">
        <f t="shared" si="28"/>
        <v>2</v>
      </c>
      <c r="P157">
        <f t="shared" si="29"/>
        <v>13</v>
      </c>
      <c r="Q157">
        <f t="shared" si="30"/>
        <v>12</v>
      </c>
      <c r="R157">
        <f t="shared" si="31"/>
        <v>7</v>
      </c>
      <c r="S157" s="61">
        <f t="shared" si="32"/>
        <v>8</v>
      </c>
      <c r="T157" s="59" t="str">
        <f>VLOOKUP(A157,Rīcibas_plans!$B$4:$D$234,3,FALSE)</f>
        <v>Sabiedriskā transporta galapietura "Ķekavas pilsēta" pie Gaismas ielas 21</v>
      </c>
      <c r="U157" s="59" t="str">
        <f>VLOOKUP(A157,Rīcibas_plans!$B$5:$Q$234,14,FALSE)</f>
        <v>Veikt pieturas pārbūvi, veidojot kā L tipa sabiedriskā transporta pieturu.</v>
      </c>
    </row>
    <row r="158" spans="1:21" ht="115.15">
      <c r="A158" s="58" t="s">
        <v>201</v>
      </c>
      <c r="B158">
        <v>650000</v>
      </c>
      <c r="C158">
        <v>3000</v>
      </c>
      <c r="D158">
        <v>288000</v>
      </c>
      <c r="E158">
        <v>28800</v>
      </c>
      <c r="F158">
        <v>1</v>
      </c>
      <c r="J158" s="61">
        <f t="shared" si="23"/>
        <v>4.6153846153846158E-3</v>
      </c>
      <c r="K158" s="60">
        <f t="shared" si="24"/>
        <v>0.44307692307692309</v>
      </c>
      <c r="L158" s="60">
        <f t="shared" si="25"/>
        <v>4.4307692307692305E-2</v>
      </c>
      <c r="M158">
        <f t="shared" si="26"/>
        <v>40</v>
      </c>
      <c r="N158">
        <f t="shared" si="27"/>
        <v>58</v>
      </c>
      <c r="O158">
        <f t="shared" si="28"/>
        <v>119</v>
      </c>
      <c r="P158">
        <f t="shared" si="29"/>
        <v>146</v>
      </c>
      <c r="Q158">
        <f t="shared" si="30"/>
        <v>147</v>
      </c>
      <c r="R158">
        <f t="shared" si="31"/>
        <v>175</v>
      </c>
      <c r="S158" s="61">
        <f t="shared" si="32"/>
        <v>114.16666666666667</v>
      </c>
      <c r="T158" s="59" t="str">
        <f>VLOOKUP(A158,Rīcibas_plans!$B$4:$D$234,3,FALSE)</f>
        <v>Ābeļdārzs, Skolas iela 1</v>
      </c>
      <c r="U158" s="59" t="str">
        <f>VLOOKUP(A158,Rīcibas_plans!$B$5:$Q$234,14,FALSE)</f>
        <v>Veikt skvēra rekonstrukciju, sakārtojot tā funkcionālo zonējumu - gājēju zona, lietisķās atpūtas vietas (L tipa), apstādījumu zona, vides objekts. Savienojumi (gājēju pārejas pāri Nākotnes ielai)</v>
      </c>
    </row>
    <row r="159" spans="1:21" ht="57.6">
      <c r="A159" s="58" t="s">
        <v>202</v>
      </c>
      <c r="B159">
        <v>368500</v>
      </c>
      <c r="C159">
        <v>2000</v>
      </c>
      <c r="D159">
        <v>48000</v>
      </c>
      <c r="E159">
        <v>48000</v>
      </c>
      <c r="F159">
        <v>7</v>
      </c>
      <c r="J159" s="61">
        <f t="shared" si="23"/>
        <v>5.4274084124830389E-3</v>
      </c>
      <c r="K159" s="60">
        <f t="shared" si="24"/>
        <v>0.13025780189959293</v>
      </c>
      <c r="L159" s="60">
        <f t="shared" si="25"/>
        <v>0.13025780189959293</v>
      </c>
      <c r="M159">
        <f t="shared" si="26"/>
        <v>64</v>
      </c>
      <c r="N159">
        <f t="shared" si="27"/>
        <v>151</v>
      </c>
      <c r="O159">
        <f t="shared" si="28"/>
        <v>86</v>
      </c>
      <c r="P159">
        <f t="shared" si="29"/>
        <v>144</v>
      </c>
      <c r="Q159">
        <f t="shared" si="30"/>
        <v>170</v>
      </c>
      <c r="R159">
        <f t="shared" si="31"/>
        <v>152</v>
      </c>
      <c r="S159" s="61">
        <f t="shared" si="32"/>
        <v>127.83333333333333</v>
      </c>
      <c r="T159" s="59" t="str">
        <f>VLOOKUP(A159,Rīcibas_plans!$B$4:$D$234,3,FALSE)</f>
        <v>Dārznieku ielas gājēju un velosipēdistu infrastruktūra</v>
      </c>
      <c r="U159" s="59" t="str">
        <f>VLOOKUP(A159,Rīcibas_plans!$B$5:$Q$234,14,FALSE)</f>
        <v>Apgaismotas ietves izbūve A7 līdz īpašumam Dārznieku iela 30 (80700083112)</v>
      </c>
    </row>
    <row r="160" spans="1:21" ht="115.15">
      <c r="A160" s="58" t="s">
        <v>203</v>
      </c>
      <c r="C160">
        <v>800</v>
      </c>
      <c r="D160">
        <v>96000</v>
      </c>
      <c r="E160">
        <v>9600</v>
      </c>
      <c r="F160">
        <v>1</v>
      </c>
      <c r="J160" s="61" t="str">
        <f t="shared" si="23"/>
        <v/>
      </c>
      <c r="K160" s="60" t="str">
        <f t="shared" si="24"/>
        <v/>
      </c>
      <c r="L160" s="60" t="str">
        <f t="shared" si="25"/>
        <v/>
      </c>
      <c r="M160">
        <f t="shared" si="26"/>
        <v>130</v>
      </c>
      <c r="N160">
        <f t="shared" si="27"/>
        <v>116</v>
      </c>
      <c r="O160">
        <f t="shared" si="28"/>
        <v>161</v>
      </c>
      <c r="P160" t="e">
        <f t="shared" si="29"/>
        <v>#VALUE!</v>
      </c>
      <c r="Q160" t="e">
        <f t="shared" si="30"/>
        <v>#VALUE!</v>
      </c>
      <c r="R160" t="e">
        <f t="shared" si="31"/>
        <v>#VALUE!</v>
      </c>
      <c r="S160" s="61" t="e">
        <f t="shared" si="32"/>
        <v>#VALUE!</v>
      </c>
      <c r="T160" s="59" t="str">
        <f>VLOOKUP(A160,Rīcibas_plans!$B$4:$D$234,3,FALSE)</f>
        <v>Ābeļdārzs, Skolas iela 1</v>
      </c>
      <c r="U160" s="59" t="str">
        <f>VLOOKUP(A160,Rīcibas_plans!$B$5:$Q$234,14,FALSE)</f>
        <v>Veikt skvēra rekonstrukciju, sakārtojot tā funkcionālo zonējumu - gājēju zona, lietisķās atpūtas vietas (L tipa), apstādījumu zona, vides objekts. Savienojumi (gājēju pārejas pāri Nākotnes ielai)</v>
      </c>
    </row>
    <row r="161" spans="1:21" ht="28.9">
      <c r="A161" s="58" t="s">
        <v>204</v>
      </c>
      <c r="B161">
        <v>5530</v>
      </c>
      <c r="C161">
        <v>6000</v>
      </c>
      <c r="D161">
        <v>1440000</v>
      </c>
      <c r="E161">
        <v>216000</v>
      </c>
      <c r="F161">
        <v>1</v>
      </c>
      <c r="J161" s="61">
        <f t="shared" si="23"/>
        <v>1.0849909584086799</v>
      </c>
      <c r="K161" s="60">
        <f t="shared" si="24"/>
        <v>260.3978300180832</v>
      </c>
      <c r="L161" s="60">
        <f t="shared" si="25"/>
        <v>39.059674502712475</v>
      </c>
      <c r="M161">
        <f t="shared" si="26"/>
        <v>5</v>
      </c>
      <c r="N161">
        <f t="shared" si="27"/>
        <v>9</v>
      </c>
      <c r="O161">
        <f t="shared" si="28"/>
        <v>31</v>
      </c>
      <c r="P161">
        <f t="shared" si="29"/>
        <v>12</v>
      </c>
      <c r="Q161">
        <f t="shared" si="30"/>
        <v>10</v>
      </c>
      <c r="R161">
        <f t="shared" si="31"/>
        <v>9</v>
      </c>
      <c r="S161" s="61">
        <f t="shared" si="32"/>
        <v>12.666666666666666</v>
      </c>
      <c r="T161" s="59" t="str">
        <f>VLOOKUP(A161,Rīcibas_plans!$B$4:$D$234,3,FALSE)</f>
        <v>Gaismas ielas lietišķais labiekārtojums</v>
      </c>
      <c r="U161" s="59" t="str">
        <f>VLOOKUP(A161,Rīcibas_plans!$B$5:$Q$234,14,FALSE)</f>
        <v>Izvietot lietišķās atpūtas vietas (S tips).</v>
      </c>
    </row>
    <row r="162" spans="1:21" ht="115.15">
      <c r="A162" s="58" t="s">
        <v>205</v>
      </c>
      <c r="B162">
        <v>390500</v>
      </c>
      <c r="C162">
        <v>1000</v>
      </c>
      <c r="D162">
        <v>180000</v>
      </c>
      <c r="E162">
        <v>90000</v>
      </c>
      <c r="F162">
        <v>2</v>
      </c>
      <c r="J162" s="61">
        <f t="shared" si="23"/>
        <v>2.5608194622279128E-3</v>
      </c>
      <c r="K162" s="60">
        <f t="shared" si="24"/>
        <v>0.46094750320102434</v>
      </c>
      <c r="L162" s="60">
        <f t="shared" si="25"/>
        <v>0.23047375160051217</v>
      </c>
      <c r="M162">
        <f t="shared" si="26"/>
        <v>93</v>
      </c>
      <c r="N162">
        <f t="shared" si="27"/>
        <v>77</v>
      </c>
      <c r="O162">
        <f t="shared" si="28"/>
        <v>56</v>
      </c>
      <c r="P162">
        <f t="shared" si="29"/>
        <v>163</v>
      </c>
      <c r="Q162">
        <f t="shared" si="30"/>
        <v>143</v>
      </c>
      <c r="R162">
        <f t="shared" si="31"/>
        <v>136</v>
      </c>
      <c r="S162" s="61">
        <f t="shared" si="32"/>
        <v>111.33333333333333</v>
      </c>
      <c r="T162" s="59" t="str">
        <f>VLOOKUP(A162,Rīcibas_plans!$B$4:$D$234,3,FALSE)</f>
        <v>Akotu ielas gājēju un velosipēdu infrasturktūra</v>
      </c>
      <c r="U162" s="59" t="str">
        <f>VLOOKUP(A162,Rīcibas_plans!$B$5:$Q$234,14,FALSE)</f>
        <v>Apgaismotas gājēju ietves izbūve (dzīvojamās zonas, gājēju prioritārās zonas noteikšana) no A7- tilts pāri Titurgas upei - Pļavniekkalna iela. Lietišķās atpūtas vietu izvietošana (S tips).</v>
      </c>
    </row>
    <row r="163" spans="1:21" ht="115.15">
      <c r="A163" s="58" t="s">
        <v>206</v>
      </c>
      <c r="B163">
        <v>11060</v>
      </c>
      <c r="C163">
        <v>1000</v>
      </c>
      <c r="D163">
        <v>180000</v>
      </c>
      <c r="E163">
        <v>27000</v>
      </c>
      <c r="F163">
        <v>2</v>
      </c>
      <c r="J163" s="61">
        <f t="shared" si="23"/>
        <v>9.0415913200723327E-2</v>
      </c>
      <c r="K163" s="60">
        <f t="shared" si="24"/>
        <v>16.2748643761302</v>
      </c>
      <c r="L163" s="60">
        <f t="shared" si="25"/>
        <v>2.4412296564195297</v>
      </c>
      <c r="M163">
        <f t="shared" si="26"/>
        <v>93</v>
      </c>
      <c r="N163">
        <f t="shared" si="27"/>
        <v>77</v>
      </c>
      <c r="O163">
        <f t="shared" si="28"/>
        <v>124</v>
      </c>
      <c r="P163">
        <f t="shared" si="29"/>
        <v>52</v>
      </c>
      <c r="Q163">
        <f t="shared" si="30"/>
        <v>38</v>
      </c>
      <c r="R163">
        <f t="shared" si="31"/>
        <v>55</v>
      </c>
      <c r="S163" s="61">
        <f t="shared" si="32"/>
        <v>73.166666666666671</v>
      </c>
      <c r="T163" s="59" t="str">
        <f>VLOOKUP(A163,Rīcibas_plans!$B$4:$D$234,3,FALSE)</f>
        <v>Akotu ielas gājēju un velosipēdu infrasturktūra</v>
      </c>
      <c r="U163" s="59" t="str">
        <f>VLOOKUP(A163,Rīcibas_plans!$B$5:$Q$234,14,FALSE)</f>
        <v>Apgaismotas gājēju ietves izbūve (dzīvojamās zonas, gājēju prioritārās zonas noteikšana) no A7- tilts pāri Titurgas upei - Pļavniekkalna iela. Lietišķās atpūtas vietu izvietošana (S tips).</v>
      </c>
    </row>
    <row r="164" spans="1:21" ht="43.15">
      <c r="A164" s="58" t="s">
        <v>207</v>
      </c>
      <c r="B164">
        <v>19355</v>
      </c>
      <c r="C164">
        <v>500</v>
      </c>
      <c r="D164">
        <v>90000</v>
      </c>
      <c r="E164">
        <v>13500</v>
      </c>
      <c r="F164">
        <v>1</v>
      </c>
      <c r="J164" s="61">
        <f t="shared" si="23"/>
        <v>2.5833118057349523E-2</v>
      </c>
      <c r="K164" s="60">
        <f t="shared" si="24"/>
        <v>4.6499612503229137</v>
      </c>
      <c r="L164" s="60">
        <f t="shared" si="25"/>
        <v>0.69749418754843706</v>
      </c>
      <c r="M164">
        <f t="shared" si="26"/>
        <v>149</v>
      </c>
      <c r="N164">
        <f t="shared" si="27"/>
        <v>121</v>
      </c>
      <c r="O164">
        <f t="shared" si="28"/>
        <v>152</v>
      </c>
      <c r="P164">
        <f t="shared" si="29"/>
        <v>102</v>
      </c>
      <c r="Q164">
        <f t="shared" si="30"/>
        <v>76</v>
      </c>
      <c r="R164">
        <f t="shared" si="31"/>
        <v>102</v>
      </c>
      <c r="S164" s="61">
        <f t="shared" si="32"/>
        <v>117</v>
      </c>
      <c r="T164" s="59" t="str">
        <f>VLOOKUP(A164,Rīcibas_plans!$B$4:$D$234,3,FALSE)</f>
        <v>Lietišķās atpūtas vietas gar A7 posmā no Krustkalniem līdz Odukalnam</v>
      </c>
      <c r="U164" s="59" t="str">
        <f>VLOOKUP(A164,Rīcibas_plans!$B$5:$Q$234,14,FALSE)</f>
        <v>Papildināt A7 šosejas malas ar lietišķās atpūtas vietām (s tipa)</v>
      </c>
    </row>
    <row r="165" spans="1:21" ht="43.15">
      <c r="A165" s="58" t="s">
        <v>208</v>
      </c>
      <c r="B165">
        <v>11060</v>
      </c>
      <c r="C165">
        <v>1000</v>
      </c>
      <c r="D165">
        <v>180000</v>
      </c>
      <c r="E165">
        <v>54000</v>
      </c>
      <c r="F165">
        <v>2</v>
      </c>
      <c r="J165" s="61">
        <f t="shared" si="23"/>
        <v>9.0415913200723327E-2</v>
      </c>
      <c r="K165" s="60">
        <f t="shared" si="24"/>
        <v>16.2748643761302</v>
      </c>
      <c r="L165" s="60">
        <f t="shared" si="25"/>
        <v>4.8824593128390594</v>
      </c>
      <c r="M165">
        <f t="shared" si="26"/>
        <v>93</v>
      </c>
      <c r="N165">
        <f t="shared" si="27"/>
        <v>77</v>
      </c>
      <c r="O165">
        <f t="shared" si="28"/>
        <v>76</v>
      </c>
      <c r="P165">
        <f t="shared" si="29"/>
        <v>52</v>
      </c>
      <c r="Q165">
        <f t="shared" si="30"/>
        <v>38</v>
      </c>
      <c r="R165">
        <f t="shared" si="31"/>
        <v>39</v>
      </c>
      <c r="S165" s="61">
        <f t="shared" si="32"/>
        <v>62.5</v>
      </c>
      <c r="T165" s="59" t="str">
        <f>VLOOKUP(A165,Rīcibas_plans!$B$4:$D$234,3,FALSE)</f>
        <v>No Plavniekkalna ielas pieturas līdz Naudītes ielai</v>
      </c>
      <c r="U165" s="59" t="str">
        <f>VLOOKUP(A165,Rīcibas_plans!$B$5:$Q$234,14,FALSE)</f>
        <v>Papildināt A7 šosejas malas ar lietišķās atpūtas vietām (s tipa)</v>
      </c>
    </row>
    <row r="166" spans="1:21" ht="57.6">
      <c r="A166" s="58" t="s">
        <v>209</v>
      </c>
      <c r="B166">
        <v>90</v>
      </c>
      <c r="C166">
        <v>2000</v>
      </c>
      <c r="D166">
        <v>360000</v>
      </c>
      <c r="E166">
        <v>18000</v>
      </c>
      <c r="F166">
        <v>1</v>
      </c>
      <c r="J166" s="61">
        <f t="shared" si="23"/>
        <v>22.222222222222221</v>
      </c>
      <c r="K166" s="60">
        <f t="shared" si="24"/>
        <v>4000</v>
      </c>
      <c r="L166" s="60">
        <f t="shared" si="25"/>
        <v>200</v>
      </c>
      <c r="M166">
        <f t="shared" si="26"/>
        <v>64</v>
      </c>
      <c r="N166">
        <f t="shared" si="27"/>
        <v>43</v>
      </c>
      <c r="O166">
        <f t="shared" si="28"/>
        <v>135</v>
      </c>
      <c r="P166">
        <f t="shared" si="29"/>
        <v>3</v>
      </c>
      <c r="Q166">
        <f t="shared" si="30"/>
        <v>1</v>
      </c>
      <c r="R166">
        <f t="shared" si="31"/>
        <v>6</v>
      </c>
      <c r="S166" s="61">
        <f t="shared" si="32"/>
        <v>42</v>
      </c>
      <c r="T166" s="59" t="str">
        <f>VLOOKUP(A166,Rīcibas_plans!$B$4:$D$234,3,FALSE)</f>
        <v>Doles Tautas nams. Informatīva norāde, Rīgas iela 26</v>
      </c>
      <c r="U166" s="59" t="str">
        <f>VLOOKUP(A166,Rīcibas_plans!$B$5:$Q$234,14,FALSE)</f>
        <v>Norādes, zīmes uz Doles Tautas namu. Informācija norādes par Ķekavas kultūras namu</v>
      </c>
    </row>
    <row r="167" spans="1:21" ht="28.9">
      <c r="A167" s="58" t="s">
        <v>210</v>
      </c>
      <c r="B167">
        <v>15000</v>
      </c>
      <c r="C167">
        <v>150</v>
      </c>
      <c r="D167">
        <v>900</v>
      </c>
      <c r="E167">
        <v>450</v>
      </c>
      <c r="F167">
        <v>7</v>
      </c>
      <c r="J167" s="61">
        <f t="shared" si="23"/>
        <v>0.01</v>
      </c>
      <c r="K167" s="60">
        <f t="shared" si="24"/>
        <v>0.06</v>
      </c>
      <c r="L167" s="60">
        <f t="shared" si="25"/>
        <v>0.03</v>
      </c>
      <c r="M167">
        <f t="shared" si="26"/>
        <v>202</v>
      </c>
      <c r="N167">
        <f t="shared" si="27"/>
        <v>224</v>
      </c>
      <c r="O167">
        <f t="shared" si="28"/>
        <v>217</v>
      </c>
      <c r="P167">
        <f t="shared" si="29"/>
        <v>122</v>
      </c>
      <c r="Q167">
        <f t="shared" si="30"/>
        <v>182</v>
      </c>
      <c r="R167">
        <f t="shared" si="31"/>
        <v>180</v>
      </c>
      <c r="S167" s="61">
        <f t="shared" si="32"/>
        <v>187.83333333333334</v>
      </c>
      <c r="T167" s="59" t="str">
        <f>VLOOKUP(A167,Rīcibas_plans!$B$4:$D$234,3,FALSE)</f>
        <v>Laivu nolaišanas vieta Daugavā Upes ielas galā</v>
      </c>
      <c r="U167" s="59" t="str">
        <f>VLOOKUP(A167,Rīcibas_plans!$B$5:$Q$234,14,FALSE)</f>
        <v>Laivu nolaišanas vieta</v>
      </c>
    </row>
    <row r="168" spans="1:21" ht="57.6">
      <c r="A168" s="58" t="s">
        <v>211</v>
      </c>
      <c r="B168">
        <v>55000</v>
      </c>
      <c r="C168">
        <v>700</v>
      </c>
      <c r="D168">
        <v>168000</v>
      </c>
      <c r="E168">
        <v>50400</v>
      </c>
      <c r="F168">
        <v>1</v>
      </c>
      <c r="J168" s="61">
        <f t="shared" si="23"/>
        <v>1.2727272727272728E-2</v>
      </c>
      <c r="K168" s="60">
        <f t="shared" si="24"/>
        <v>3.0545454545454547</v>
      </c>
      <c r="L168" s="60">
        <f t="shared" si="25"/>
        <v>0.91636363636363638</v>
      </c>
      <c r="M168">
        <f t="shared" si="26"/>
        <v>134</v>
      </c>
      <c r="N168">
        <f t="shared" si="27"/>
        <v>84</v>
      </c>
      <c r="O168">
        <f t="shared" si="28"/>
        <v>85</v>
      </c>
      <c r="P168">
        <f t="shared" si="29"/>
        <v>114</v>
      </c>
      <c r="Q168">
        <f t="shared" si="30"/>
        <v>92</v>
      </c>
      <c r="R168">
        <f t="shared" si="31"/>
        <v>96</v>
      </c>
      <c r="S168" s="61">
        <f t="shared" si="32"/>
        <v>100.83333333333333</v>
      </c>
      <c r="T168" s="59" t="str">
        <f>VLOOKUP(A168,Rīcibas_plans!$B$4:$D$234,3,FALSE)</f>
        <v>Odukalnu ielas izbūve</v>
      </c>
      <c r="U168" s="59" t="str">
        <f>VLOOKUP(A168,Rīcibas_plans!$B$5:$Q$234,14,FALSE)</f>
        <v xml:space="preserve">Oduklana ielas izbūve ar gājēju un velo infrastruktūru. Lietišķās atpūtas vieta </v>
      </c>
    </row>
    <row r="169" spans="1:21" ht="57.6">
      <c r="A169" s="58" t="s">
        <v>212</v>
      </c>
      <c r="B169">
        <v>8295</v>
      </c>
      <c r="C169">
        <v>700</v>
      </c>
      <c r="D169">
        <v>126000</v>
      </c>
      <c r="E169">
        <v>18900</v>
      </c>
      <c r="F169">
        <v>1</v>
      </c>
      <c r="J169" s="61">
        <f t="shared" si="23"/>
        <v>8.4388185654008435E-2</v>
      </c>
      <c r="K169" s="60">
        <f t="shared" si="24"/>
        <v>15.189873417721518</v>
      </c>
      <c r="L169" s="60">
        <f t="shared" si="25"/>
        <v>2.278481012658228</v>
      </c>
      <c r="M169">
        <f t="shared" si="26"/>
        <v>134</v>
      </c>
      <c r="N169">
        <f t="shared" si="27"/>
        <v>94</v>
      </c>
      <c r="O169">
        <f t="shared" si="28"/>
        <v>134</v>
      </c>
      <c r="P169">
        <f t="shared" si="29"/>
        <v>57</v>
      </c>
      <c r="Q169">
        <f t="shared" si="30"/>
        <v>41</v>
      </c>
      <c r="R169">
        <f t="shared" si="31"/>
        <v>61</v>
      </c>
      <c r="S169" s="61">
        <f t="shared" si="32"/>
        <v>86.833333333333329</v>
      </c>
      <c r="T169" s="59" t="str">
        <f>VLOOKUP(A169,Rīcibas_plans!$B$4:$D$234,3,FALSE)</f>
        <v>Odukalnu ielas izbūve</v>
      </c>
      <c r="U169" s="59" t="str">
        <f>VLOOKUP(A169,Rīcibas_plans!$B$5:$Q$234,14,FALSE)</f>
        <v xml:space="preserve">Oduklana ielas izbūve ar gājēju un velo infrastruktūru. Lietišķās atpūtas vieta </v>
      </c>
    </row>
    <row r="170" spans="1:21" ht="86.45">
      <c r="A170" s="58" t="s">
        <v>213</v>
      </c>
      <c r="B170">
        <v>9000</v>
      </c>
      <c r="C170">
        <v>3000</v>
      </c>
      <c r="D170">
        <v>36000</v>
      </c>
      <c r="E170">
        <v>3600</v>
      </c>
      <c r="F170">
        <v>1</v>
      </c>
      <c r="J170" s="61">
        <f t="shared" si="23"/>
        <v>0.33333333333333331</v>
      </c>
      <c r="K170" s="60">
        <f t="shared" si="24"/>
        <v>4</v>
      </c>
      <c r="L170" s="60">
        <f t="shared" si="25"/>
        <v>0.4</v>
      </c>
      <c r="M170">
        <f t="shared" si="26"/>
        <v>40</v>
      </c>
      <c r="N170">
        <f t="shared" si="27"/>
        <v>155</v>
      </c>
      <c r="O170">
        <f t="shared" si="28"/>
        <v>194</v>
      </c>
      <c r="P170">
        <f t="shared" si="29"/>
        <v>22</v>
      </c>
      <c r="Q170">
        <f t="shared" si="30"/>
        <v>84</v>
      </c>
      <c r="R170">
        <f t="shared" si="31"/>
        <v>115</v>
      </c>
      <c r="S170" s="61">
        <f t="shared" si="32"/>
        <v>101.66666666666667</v>
      </c>
      <c r="T170" s="59" t="str">
        <f>VLOOKUP(A170,Rīcibas_plans!$B$4:$D$234,3,FALSE)</f>
        <v>Pašvaldības nozīmes koplietošanas ūdensnotekas 413241:P:1  tīrīšana posmā no Ķekavas kultūras nama līdz putnu fabrikai</v>
      </c>
      <c r="U170" s="59" t="str">
        <f>VLOOKUP(A170,Rīcibas_plans!$B$5:$Q$234,14,FALSE)</f>
        <v xml:space="preserve">Pašvaldības nozīmes koplietošanas ūdensnotekas 413241:P:1  tīrīšana posmā no  .  Ķekavas kultūras nama līdz putnu fabrikai. </v>
      </c>
    </row>
    <row r="171" spans="1:21" ht="57.6">
      <c r="A171" s="58" t="s">
        <v>214</v>
      </c>
      <c r="B171">
        <v>8295</v>
      </c>
      <c r="C171">
        <v>300</v>
      </c>
      <c r="D171">
        <v>36000</v>
      </c>
      <c r="E171">
        <v>7200</v>
      </c>
      <c r="F171">
        <v>1</v>
      </c>
      <c r="J171" s="61">
        <f t="shared" si="23"/>
        <v>3.6166365280289332E-2</v>
      </c>
      <c r="K171" s="60">
        <f t="shared" si="24"/>
        <v>4.3399638336347195</v>
      </c>
      <c r="L171" s="60">
        <f t="shared" si="25"/>
        <v>0.86799276672694392</v>
      </c>
      <c r="M171">
        <f t="shared" si="26"/>
        <v>178</v>
      </c>
      <c r="N171">
        <f t="shared" si="27"/>
        <v>155</v>
      </c>
      <c r="O171">
        <f t="shared" si="28"/>
        <v>172</v>
      </c>
      <c r="P171">
        <f t="shared" si="29"/>
        <v>91</v>
      </c>
      <c r="Q171">
        <f t="shared" si="30"/>
        <v>79</v>
      </c>
      <c r="R171">
        <f t="shared" si="31"/>
        <v>98</v>
      </c>
      <c r="S171" s="61">
        <f t="shared" si="32"/>
        <v>128.83333333333334</v>
      </c>
      <c r="T171" s="59" t="str">
        <f>VLOOKUP(A171,Rīcibas_plans!$B$4:$D$234,3,FALSE)</f>
        <v>Naudītes ielas lietišķā infrastruktūra</v>
      </c>
      <c r="U171" s="59" t="str">
        <f>VLOOKUP(A171,Rīcibas_plans!$B$5:$Q$234,14,FALSE)</f>
        <v xml:space="preserve">Apgaismojuma ierīkošana, gājēju ietves izbūve. Lietišķās atpūtas vietas (S tips). </v>
      </c>
    </row>
    <row r="172" spans="1:21" ht="28.9">
      <c r="A172" s="58" t="s">
        <v>215</v>
      </c>
      <c r="C172">
        <v>1500</v>
      </c>
      <c r="D172">
        <v>144000</v>
      </c>
      <c r="E172">
        <v>14400</v>
      </c>
      <c r="F172">
        <v>2</v>
      </c>
      <c r="J172" s="61" t="str">
        <f t="shared" si="23"/>
        <v/>
      </c>
      <c r="K172" s="60" t="str">
        <f t="shared" si="24"/>
        <v/>
      </c>
      <c r="L172" s="60" t="str">
        <f t="shared" si="25"/>
        <v/>
      </c>
      <c r="M172">
        <f t="shared" si="26"/>
        <v>76</v>
      </c>
      <c r="N172">
        <f t="shared" si="27"/>
        <v>87</v>
      </c>
      <c r="O172">
        <f t="shared" si="28"/>
        <v>147</v>
      </c>
      <c r="P172" t="e">
        <f t="shared" si="29"/>
        <v>#VALUE!</v>
      </c>
      <c r="Q172" t="e">
        <f t="shared" si="30"/>
        <v>#VALUE!</v>
      </c>
      <c r="R172" t="e">
        <f t="shared" si="31"/>
        <v>#VALUE!</v>
      </c>
      <c r="S172" s="61" t="e">
        <f t="shared" si="32"/>
        <v>#VALUE!</v>
      </c>
      <c r="T172" s="59" t="str">
        <f>VLOOKUP(A172,Rīcibas_plans!$B$4:$D$234,3,FALSE)</f>
        <v>Mūzikas skolas priekšlaukums, Skolas iela 3</v>
      </c>
      <c r="U172" s="59" t="str">
        <f>VLOOKUP(A172,Rīcibas_plans!$B$5:$Q$234,14,FALSE)</f>
        <v>Papildināt ar koku stādījumiem</v>
      </c>
    </row>
    <row r="173" spans="1:21" ht="57.6">
      <c r="A173" s="58" t="s">
        <v>216</v>
      </c>
      <c r="B173">
        <v>9750</v>
      </c>
      <c r="C173">
        <v>500</v>
      </c>
      <c r="D173">
        <v>90000</v>
      </c>
      <c r="E173">
        <v>9000</v>
      </c>
      <c r="F173">
        <v>7</v>
      </c>
      <c r="J173" s="61">
        <f t="shared" si="23"/>
        <v>5.128205128205128E-2</v>
      </c>
      <c r="K173" s="60">
        <f t="shared" si="24"/>
        <v>9.2307692307692299</v>
      </c>
      <c r="L173" s="60">
        <f t="shared" si="25"/>
        <v>0.92307692307692313</v>
      </c>
      <c r="M173">
        <f t="shared" si="26"/>
        <v>149</v>
      </c>
      <c r="N173">
        <f t="shared" si="27"/>
        <v>121</v>
      </c>
      <c r="O173">
        <f t="shared" si="28"/>
        <v>163</v>
      </c>
      <c r="P173">
        <f t="shared" si="29"/>
        <v>74</v>
      </c>
      <c r="Q173">
        <f t="shared" si="30"/>
        <v>59</v>
      </c>
      <c r="R173">
        <f t="shared" si="31"/>
        <v>95</v>
      </c>
      <c r="S173" s="61">
        <f t="shared" si="32"/>
        <v>110.16666666666667</v>
      </c>
      <c r="T173" s="59" t="str">
        <f>VLOOKUP(A173,Rīcibas_plans!$B$4:$D$234,3,FALSE)</f>
        <v xml:space="preserve">Apstādījumu izveide gar  A7 (Rīga-Bauska-Lietuvas robeža) veloceļu.  </v>
      </c>
      <c r="U173" s="59" t="str">
        <f>VLOOKUP(A173,Rīcibas_plans!$B$5:$Q$234,14,FALSE)</f>
        <v>Apstādījumu atjaunošana gar izbūvēto veloceļu posmā , kur izcirtsas egles veloceļa būvniecības laikā</v>
      </c>
    </row>
    <row r="174" spans="1:21" ht="43.15">
      <c r="A174" s="58" t="s">
        <v>217</v>
      </c>
      <c r="B174">
        <v>230000</v>
      </c>
      <c r="C174">
        <v>1000</v>
      </c>
      <c r="D174">
        <v>12000</v>
      </c>
      <c r="E174">
        <v>24000</v>
      </c>
      <c r="F174">
        <v>3</v>
      </c>
      <c r="J174" s="61">
        <f t="shared" si="23"/>
        <v>4.3478260869565218E-3</v>
      </c>
      <c r="K174" s="60">
        <f t="shared" si="24"/>
        <v>5.2173913043478258E-2</v>
      </c>
      <c r="L174" s="60">
        <f t="shared" si="25"/>
        <v>0.10434782608695652</v>
      </c>
      <c r="M174">
        <f t="shared" si="26"/>
        <v>93</v>
      </c>
      <c r="N174">
        <f t="shared" si="27"/>
        <v>189</v>
      </c>
      <c r="O174">
        <f t="shared" si="28"/>
        <v>127</v>
      </c>
      <c r="P174">
        <f t="shared" si="29"/>
        <v>149</v>
      </c>
      <c r="Q174">
        <f t="shared" si="30"/>
        <v>183</v>
      </c>
      <c r="R174">
        <f t="shared" si="31"/>
        <v>155</v>
      </c>
      <c r="S174" s="61">
        <f t="shared" si="32"/>
        <v>149.33333333333334</v>
      </c>
      <c r="T174" s="59" t="str">
        <f>VLOOKUP(A174,Rīcibas_plans!$B$4:$D$234,3,FALSE)</f>
        <v>Laivošanas maršruts pa Ķekavas upi</v>
      </c>
      <c r="U174" s="59" t="str">
        <f>VLOOKUP(A174,Rīcibas_plans!$B$5:$Q$234,14,FALSE)</f>
        <v>Laivošanas maršruta izveide. Tīrīšana un uzturēšana</v>
      </c>
    </row>
    <row r="175" spans="1:21" ht="43.15">
      <c r="A175" s="58" t="s">
        <v>218</v>
      </c>
      <c r="B175">
        <v>15000</v>
      </c>
      <c r="C175">
        <v>3000</v>
      </c>
      <c r="D175">
        <v>144000</v>
      </c>
      <c r="E175">
        <v>144000</v>
      </c>
      <c r="F175">
        <v>3</v>
      </c>
      <c r="J175" s="61">
        <f t="shared" si="23"/>
        <v>0.2</v>
      </c>
      <c r="K175" s="60">
        <f t="shared" si="24"/>
        <v>9.6</v>
      </c>
      <c r="L175" s="60">
        <f t="shared" si="25"/>
        <v>9.6</v>
      </c>
      <c r="M175">
        <f t="shared" si="26"/>
        <v>40</v>
      </c>
      <c r="N175">
        <f t="shared" si="27"/>
        <v>87</v>
      </c>
      <c r="O175">
        <f t="shared" si="28"/>
        <v>35</v>
      </c>
      <c r="P175">
        <f t="shared" si="29"/>
        <v>33</v>
      </c>
      <c r="Q175">
        <f t="shared" si="30"/>
        <v>56</v>
      </c>
      <c r="R175">
        <f t="shared" si="31"/>
        <v>21</v>
      </c>
      <c r="S175" s="61">
        <f t="shared" si="32"/>
        <v>45.333333333333336</v>
      </c>
      <c r="T175" s="59" t="str">
        <f>VLOOKUP(A175,Rīcibas_plans!$B$4:$D$234,3,FALSE)</f>
        <v>Atpūtas vieta pie ūdens "Murdiņi", Dārznieku iela 13, Ķekava</v>
      </c>
      <c r="U175" s="59" t="str">
        <f>VLOOKUP(A175,Rīcibas_plans!$B$5:$Q$234,14,FALSE)</f>
        <v xml:space="preserve">Laivu nolaišanas vietas izbūve. SUP vietas izbūve, Sporta laukuma izbūve </v>
      </c>
    </row>
    <row r="176" spans="1:21" ht="28.9">
      <c r="A176" s="58" t="s">
        <v>219</v>
      </c>
      <c r="B176">
        <v>15000</v>
      </c>
      <c r="C176">
        <v>6000</v>
      </c>
      <c r="D176">
        <v>1080000</v>
      </c>
      <c r="E176">
        <v>10800</v>
      </c>
      <c r="F176">
        <v>3</v>
      </c>
      <c r="J176" s="61">
        <f t="shared" si="23"/>
        <v>0.4</v>
      </c>
      <c r="K176" s="60">
        <f t="shared" si="24"/>
        <v>72</v>
      </c>
      <c r="L176" s="60">
        <f t="shared" si="25"/>
        <v>0.72</v>
      </c>
      <c r="M176">
        <f t="shared" si="26"/>
        <v>5</v>
      </c>
      <c r="N176">
        <f t="shared" si="27"/>
        <v>15</v>
      </c>
      <c r="O176">
        <f t="shared" si="28"/>
        <v>158</v>
      </c>
      <c r="P176">
        <f t="shared" si="29"/>
        <v>21</v>
      </c>
      <c r="Q176">
        <f t="shared" si="30"/>
        <v>17</v>
      </c>
      <c r="R176">
        <f t="shared" si="31"/>
        <v>100</v>
      </c>
      <c r="S176" s="61">
        <f t="shared" si="32"/>
        <v>52.666666666666664</v>
      </c>
      <c r="T176" s="59" t="str">
        <f>VLOOKUP(A176,Rīcibas_plans!$B$4:$D$234,3,FALSE)</f>
        <v>Vides objekts - Ķekavas pilsētas zīme pie Odukalna ūdenstorņa, "Odiņš", Odukalns,</v>
      </c>
      <c r="U176" s="59" t="str">
        <f>VLOOKUP(A176,Rīcibas_plans!$B$5:$Q$234,14,FALSE)</f>
        <v>Vides objekta/zīmes - Ķekava - uzstādīšana</v>
      </c>
    </row>
    <row r="177" spans="1:21" ht="57.6">
      <c r="A177" s="58" t="s">
        <v>220</v>
      </c>
      <c r="B177">
        <v>220000</v>
      </c>
      <c r="C177">
        <v>1000</v>
      </c>
      <c r="D177">
        <v>180000</v>
      </c>
      <c r="E177">
        <v>54000</v>
      </c>
      <c r="F177">
        <v>2</v>
      </c>
      <c r="J177" s="61">
        <f t="shared" si="23"/>
        <v>4.5454545454545452E-3</v>
      </c>
      <c r="K177" s="60">
        <f t="shared" si="24"/>
        <v>0.81818181818181823</v>
      </c>
      <c r="L177" s="60">
        <f t="shared" si="25"/>
        <v>0.24545454545454545</v>
      </c>
      <c r="M177">
        <f t="shared" si="26"/>
        <v>93</v>
      </c>
      <c r="N177">
        <f t="shared" si="27"/>
        <v>77</v>
      </c>
      <c r="O177">
        <f t="shared" si="28"/>
        <v>76</v>
      </c>
      <c r="P177">
        <f t="shared" si="29"/>
        <v>147</v>
      </c>
      <c r="Q177">
        <f t="shared" si="30"/>
        <v>126</v>
      </c>
      <c r="R177">
        <f t="shared" si="31"/>
        <v>131</v>
      </c>
      <c r="S177" s="61">
        <f t="shared" si="32"/>
        <v>108.33333333333333</v>
      </c>
      <c r="T177" s="59" t="str">
        <f>VLOOKUP(A177,Rīcibas_plans!$B$4:$D$234,3,FALSE)</f>
        <v xml:space="preserve">Gājēju ietve Ziemeļu ielā posmā no A5 (Jaunsils) līdz putnu fabrikai.  Gājēju ceļš un veloceļš.  </v>
      </c>
      <c r="U177" s="59" t="str">
        <f>VLOOKUP(A177,Rīcibas_plans!$B$5:$Q$234,14,FALSE)</f>
        <v xml:space="preserve">Gājēju ceļš un veloceļa izbūve Ziemeļu ielā posmā no A5 (Jaunsils) līdz putnu fabrikai Jaunsilam.  </v>
      </c>
    </row>
    <row r="178" spans="1:21" ht="72">
      <c r="A178" s="58" t="s">
        <v>221</v>
      </c>
      <c r="B178">
        <v>33600</v>
      </c>
      <c r="C178">
        <v>3000</v>
      </c>
      <c r="D178">
        <v>288000</v>
      </c>
      <c r="E178">
        <v>57600</v>
      </c>
      <c r="F178">
        <v>3</v>
      </c>
      <c r="J178" s="61">
        <f t="shared" si="23"/>
        <v>8.9285714285714288E-2</v>
      </c>
      <c r="K178" s="60">
        <f t="shared" si="24"/>
        <v>8.5714285714285712</v>
      </c>
      <c r="L178" s="60">
        <f t="shared" si="25"/>
        <v>1.7142857142857142</v>
      </c>
      <c r="M178">
        <f t="shared" si="26"/>
        <v>40</v>
      </c>
      <c r="N178">
        <f t="shared" si="27"/>
        <v>58</v>
      </c>
      <c r="O178">
        <f t="shared" si="28"/>
        <v>74</v>
      </c>
      <c r="P178">
        <f t="shared" si="29"/>
        <v>56</v>
      </c>
      <c r="Q178">
        <f t="shared" si="30"/>
        <v>62</v>
      </c>
      <c r="R178">
        <f t="shared" si="31"/>
        <v>69</v>
      </c>
      <c r="S178" s="61">
        <f t="shared" si="32"/>
        <v>59.833333333333336</v>
      </c>
      <c r="T178" s="59" t="str">
        <f>VLOOKUP(A178,Rīcibas_plans!$B$4:$D$234,3,FALSE)</f>
        <v>Stāvlaukums un gājēju ietve (Dārznieku iela 3A un Dārznieku iela 3B</v>
      </c>
      <c r="U178" s="59" t="str">
        <f>VLOOKUP(A178,Rīcibas_plans!$B$5:$Q$234,14,FALSE)</f>
        <v>Nepieciešams stāvlaukums  un tilts gājējiem, lai uzlabout piekļuvi Grilparkam  apmeklētājiem baznīcai, tirgum.</v>
      </c>
    </row>
    <row r="179" spans="1:21" ht="28.9">
      <c r="A179" s="58" t="s">
        <v>222</v>
      </c>
      <c r="B179">
        <v>15000</v>
      </c>
      <c r="C179">
        <v>1000</v>
      </c>
      <c r="D179">
        <v>24000</v>
      </c>
      <c r="E179">
        <v>7200</v>
      </c>
      <c r="F179">
        <v>3</v>
      </c>
      <c r="J179" s="61">
        <f t="shared" si="23"/>
        <v>6.6666666666666666E-2</v>
      </c>
      <c r="K179" s="60">
        <f t="shared" si="24"/>
        <v>1.6</v>
      </c>
      <c r="L179" s="60">
        <f t="shared" si="25"/>
        <v>0.48</v>
      </c>
      <c r="M179">
        <f t="shared" si="26"/>
        <v>93</v>
      </c>
      <c r="N179">
        <f t="shared" si="27"/>
        <v>165</v>
      </c>
      <c r="O179">
        <f t="shared" si="28"/>
        <v>172</v>
      </c>
      <c r="P179">
        <f t="shared" si="29"/>
        <v>64</v>
      </c>
      <c r="Q179">
        <f t="shared" si="30"/>
        <v>107</v>
      </c>
      <c r="R179">
        <f t="shared" si="31"/>
        <v>108</v>
      </c>
      <c r="S179" s="61">
        <f t="shared" si="32"/>
        <v>118.16666666666667</v>
      </c>
      <c r="T179" s="59" t="str">
        <f>VLOOKUP(A179,Rīcibas_plans!$B$4:$D$234,3,FALSE)</f>
        <v>Stāvlaukums un gājēju ietve (Dārznieku iela 3A un Dārznieku iela 3B</v>
      </c>
      <c r="U179" s="59" t="str">
        <f>VLOOKUP(A179,Rīcibas_plans!$B$5:$Q$234,14,FALSE)</f>
        <v xml:space="preserve"> Laivotāju piekļuve, piebraukšana. </v>
      </c>
    </row>
    <row r="180" spans="1:21" ht="72">
      <c r="A180" s="58" t="s">
        <v>223</v>
      </c>
      <c r="B180">
        <v>151200</v>
      </c>
      <c r="C180">
        <v>1500</v>
      </c>
      <c r="D180">
        <v>270000</v>
      </c>
      <c r="E180">
        <v>135000</v>
      </c>
      <c r="F180">
        <v>7</v>
      </c>
      <c r="J180" s="61">
        <f t="shared" si="23"/>
        <v>9.9206349206349201E-3</v>
      </c>
      <c r="K180" s="60">
        <f t="shared" si="24"/>
        <v>1.7857142857142858</v>
      </c>
      <c r="L180" s="60">
        <f t="shared" si="25"/>
        <v>0.8928571428571429</v>
      </c>
      <c r="M180">
        <f t="shared" si="26"/>
        <v>76</v>
      </c>
      <c r="N180">
        <f t="shared" si="27"/>
        <v>62</v>
      </c>
      <c r="O180">
        <f t="shared" si="28"/>
        <v>39</v>
      </c>
      <c r="P180">
        <f t="shared" si="29"/>
        <v>123</v>
      </c>
      <c r="Q180">
        <f t="shared" si="30"/>
        <v>105</v>
      </c>
      <c r="R180">
        <f t="shared" si="31"/>
        <v>97</v>
      </c>
      <c r="S180" s="61">
        <f t="shared" si="32"/>
        <v>83.666666666666671</v>
      </c>
      <c r="T180" s="59" t="str">
        <f>VLOOKUP(A180,Rīcibas_plans!$B$4:$D$234,3,FALSE)</f>
        <v>Gājēju ietve Vanadziņu  un Gaismas ielās</v>
      </c>
      <c r="U180" s="59" t="str">
        <f>VLOOKUP(A180,Rīcibas_plans!$B$5:$Q$234,14,FALSE)</f>
        <v xml:space="preserve">Gar “Līgas pirti”  nākotnē izveidot par gājēju ietvi/ceļu, jo jau šobrīd tas ir iedzīvotāju vidū populārs pastaigu maršrut </v>
      </c>
    </row>
    <row r="181" spans="1:21" ht="28.9">
      <c r="A181" s="58" t="s">
        <v>224</v>
      </c>
      <c r="B181">
        <v>20000</v>
      </c>
      <c r="C181">
        <v>800</v>
      </c>
      <c r="D181">
        <v>192000</v>
      </c>
      <c r="E181">
        <v>38400</v>
      </c>
      <c r="F181">
        <v>3</v>
      </c>
      <c r="J181" s="61">
        <f t="shared" si="23"/>
        <v>0.04</v>
      </c>
      <c r="K181" s="60">
        <f t="shared" si="24"/>
        <v>9.6</v>
      </c>
      <c r="L181" s="60">
        <f t="shared" si="25"/>
        <v>1.92</v>
      </c>
      <c r="M181">
        <f t="shared" si="26"/>
        <v>130</v>
      </c>
      <c r="N181">
        <f t="shared" si="27"/>
        <v>73</v>
      </c>
      <c r="O181">
        <f t="shared" si="28"/>
        <v>95</v>
      </c>
      <c r="P181">
        <f t="shared" si="29"/>
        <v>85</v>
      </c>
      <c r="Q181">
        <f t="shared" si="30"/>
        <v>56</v>
      </c>
      <c r="R181">
        <f t="shared" si="31"/>
        <v>65</v>
      </c>
      <c r="S181" s="61">
        <f t="shared" si="32"/>
        <v>84</v>
      </c>
      <c r="T181" s="59" t="str">
        <f>VLOOKUP(A181,Rīcibas_plans!$B$4:$D$234,3,FALSE)</f>
        <v>Mikromobilitātes punkts Odukalnā</v>
      </c>
      <c r="U181" s="59" t="str">
        <f>VLOOKUP(A181,Rīcibas_plans!$B$5:$Q$234,14,FALSE)</f>
        <v>Mikromobilitātes punkta izveide</v>
      </c>
    </row>
    <row r="182" spans="1:21" ht="28.9">
      <c r="A182" s="58" t="s">
        <v>225</v>
      </c>
      <c r="B182">
        <v>20000</v>
      </c>
      <c r="C182">
        <v>700</v>
      </c>
      <c r="D182">
        <v>168000</v>
      </c>
      <c r="E182">
        <v>33600</v>
      </c>
      <c r="F182">
        <v>3</v>
      </c>
      <c r="J182" s="61">
        <f t="shared" si="23"/>
        <v>3.5000000000000003E-2</v>
      </c>
      <c r="K182" s="60">
        <f t="shared" si="24"/>
        <v>8.4</v>
      </c>
      <c r="L182" s="60">
        <f t="shared" si="25"/>
        <v>1.68</v>
      </c>
      <c r="M182">
        <f t="shared" si="26"/>
        <v>134</v>
      </c>
      <c r="N182">
        <f t="shared" si="27"/>
        <v>84</v>
      </c>
      <c r="O182">
        <f t="shared" si="28"/>
        <v>105</v>
      </c>
      <c r="P182">
        <f t="shared" si="29"/>
        <v>93</v>
      </c>
      <c r="Q182">
        <f t="shared" si="30"/>
        <v>63</v>
      </c>
      <c r="R182">
        <f t="shared" si="31"/>
        <v>70</v>
      </c>
      <c r="S182" s="61">
        <f t="shared" si="32"/>
        <v>91.5</v>
      </c>
      <c r="T182" s="59" t="str">
        <f>VLOOKUP(A182,Rīcibas_plans!$B$4:$D$234,3,FALSE)</f>
        <v>Mikromobilitātes punkts  Vimbukrogā</v>
      </c>
      <c r="U182" s="59" t="str">
        <f>VLOOKUP(A182,Rīcibas_plans!$B$5:$Q$234,14,FALSE)</f>
        <v>Mikromobilitātes punkta izveide</v>
      </c>
    </row>
    <row r="183" spans="1:21" ht="115.15">
      <c r="A183" s="58" t="s">
        <v>226</v>
      </c>
      <c r="B183">
        <v>0</v>
      </c>
      <c r="C183">
        <v>8000</v>
      </c>
      <c r="D183">
        <v>1920000</v>
      </c>
      <c r="E183">
        <v>384000</v>
      </c>
      <c r="F183">
        <v>2</v>
      </c>
      <c r="J183" s="61" t="str">
        <f t="shared" si="23"/>
        <v/>
      </c>
      <c r="K183" s="60" t="str">
        <f t="shared" si="24"/>
        <v/>
      </c>
      <c r="L183" s="60" t="str">
        <f t="shared" si="25"/>
        <v/>
      </c>
      <c r="M183">
        <f t="shared" si="26"/>
        <v>2</v>
      </c>
      <c r="N183">
        <f t="shared" si="27"/>
        <v>6</v>
      </c>
      <c r="O183">
        <f t="shared" si="28"/>
        <v>17</v>
      </c>
      <c r="P183" t="e">
        <f t="shared" si="29"/>
        <v>#VALUE!</v>
      </c>
      <c r="Q183" t="e">
        <f t="shared" si="30"/>
        <v>#VALUE!</v>
      </c>
      <c r="R183" t="e">
        <f t="shared" si="31"/>
        <v>#VALUE!</v>
      </c>
      <c r="S183" s="61" t="e">
        <f t="shared" si="32"/>
        <v>#VALUE!</v>
      </c>
      <c r="T183" s="59" t="str">
        <f>VLOOKUP(A183,Rīcibas_plans!$B$4:$D$234,3,FALSE)</f>
        <v>Reģionālais mobilitātes punkts Ķekavā Gaismas ielā 21 un/vai Gaismas ielā 20</v>
      </c>
      <c r="U183" s="59" t="str">
        <f>VLOOKUP(A183,Rīcibas_plans!$B$5:$Q$234,14,FALSE)</f>
        <v>Reģiona mobilitātes punkta izveide,kas ietver teritorijas labiekārtojumu ar autostāvvietu, elektrouzlādes vietu, velosipēdu novietņu izveidi, gājēju un velo infrastruktūru.</v>
      </c>
    </row>
    <row r="184" spans="1:21" ht="28.9">
      <c r="A184" s="58" t="s">
        <v>227</v>
      </c>
      <c r="B184">
        <v>4500</v>
      </c>
      <c r="C184">
        <v>1500</v>
      </c>
      <c r="D184">
        <v>144000</v>
      </c>
      <c r="E184">
        <v>14400</v>
      </c>
      <c r="F184">
        <v>2</v>
      </c>
      <c r="J184" s="61">
        <f t="shared" si="23"/>
        <v>0.33333333333333331</v>
      </c>
      <c r="K184" s="60">
        <f t="shared" si="24"/>
        <v>32</v>
      </c>
      <c r="L184" s="60">
        <f t="shared" si="25"/>
        <v>3.2</v>
      </c>
      <c r="M184">
        <f t="shared" si="26"/>
        <v>76</v>
      </c>
      <c r="N184">
        <f t="shared" si="27"/>
        <v>87</v>
      </c>
      <c r="O184">
        <f t="shared" si="28"/>
        <v>147</v>
      </c>
      <c r="P184">
        <f t="shared" si="29"/>
        <v>22</v>
      </c>
      <c r="Q184">
        <f t="shared" si="30"/>
        <v>27</v>
      </c>
      <c r="R184">
        <f t="shared" si="31"/>
        <v>50</v>
      </c>
      <c r="S184" s="61">
        <f t="shared" si="32"/>
        <v>68.166666666666671</v>
      </c>
      <c r="T184" s="59" t="str">
        <f>VLOOKUP(A184,Rīcibas_plans!$B$4:$D$234,3,FALSE)</f>
        <v> Ķekavas sākumskola, Nākotnes iela 1A, Nākotnes iela 3, Dienvidu iela 3</v>
      </c>
      <c r="U184" s="59" t="str">
        <f>VLOOKUP(A184,Rīcibas_plans!$B$5:$Q$234,14,FALSE)</f>
        <v>Papildināt ar koku stādijumiem</v>
      </c>
    </row>
    <row r="185" spans="1:21" ht="86.45">
      <c r="A185" s="58" t="s">
        <v>228</v>
      </c>
      <c r="B185">
        <v>45000</v>
      </c>
      <c r="C185">
        <v>70</v>
      </c>
      <c r="D185">
        <v>8400</v>
      </c>
      <c r="E185">
        <v>4200</v>
      </c>
      <c r="F185">
        <v>2</v>
      </c>
      <c r="J185" s="61">
        <f t="shared" si="23"/>
        <v>1.5555555555555555E-3</v>
      </c>
      <c r="K185" s="60">
        <f t="shared" si="24"/>
        <v>0.18666666666666668</v>
      </c>
      <c r="L185" s="60">
        <f t="shared" si="25"/>
        <v>9.3333333333333338E-2</v>
      </c>
      <c r="M185">
        <f t="shared" si="26"/>
        <v>214</v>
      </c>
      <c r="N185">
        <f t="shared" si="27"/>
        <v>193</v>
      </c>
      <c r="O185">
        <f t="shared" si="28"/>
        <v>193</v>
      </c>
      <c r="P185">
        <f t="shared" si="29"/>
        <v>179</v>
      </c>
      <c r="Q185">
        <f t="shared" si="30"/>
        <v>166</v>
      </c>
      <c r="R185">
        <f t="shared" si="31"/>
        <v>162</v>
      </c>
      <c r="S185" s="61">
        <f t="shared" si="32"/>
        <v>184.5</v>
      </c>
      <c r="T185" s="59" t="str">
        <f>VLOOKUP(A185,Rīcibas_plans!$B$4:$D$234,3,FALSE)</f>
        <v xml:space="preserve">Seguma ierīkošana sporta spēlēm </v>
      </c>
      <c r="U185" s="59" t="str">
        <f>VLOOKUP(A185,Rīcibas_plans!$B$5:$Q$234,14,FALSE)</f>
        <v xml:space="preserve">Seguma (asfalts vai speciāls segums) ierīkošana , lai nodoršinātu iespēju nodarboties ar florbolu, skrituļot vai braukt ar riteņiem bērniem </v>
      </c>
    </row>
    <row r="186" spans="1:21" ht="86.45">
      <c r="A186" s="58" t="s">
        <v>229</v>
      </c>
      <c r="B186">
        <v>6525</v>
      </c>
      <c r="C186">
        <v>1500</v>
      </c>
      <c r="D186">
        <v>90000</v>
      </c>
      <c r="E186">
        <v>45000</v>
      </c>
      <c r="F186">
        <v>2</v>
      </c>
      <c r="J186" s="61">
        <f t="shared" si="23"/>
        <v>0.22988505747126436</v>
      </c>
      <c r="K186" s="60">
        <f t="shared" si="24"/>
        <v>13.793103448275861</v>
      </c>
      <c r="L186" s="60">
        <f t="shared" si="25"/>
        <v>6.8965517241379306</v>
      </c>
      <c r="M186">
        <f t="shared" si="26"/>
        <v>76</v>
      </c>
      <c r="N186">
        <f t="shared" si="27"/>
        <v>121</v>
      </c>
      <c r="O186">
        <f t="shared" si="28"/>
        <v>92</v>
      </c>
      <c r="P186">
        <f t="shared" si="29"/>
        <v>29</v>
      </c>
      <c r="Q186">
        <f t="shared" si="30"/>
        <v>48</v>
      </c>
      <c r="R186">
        <f t="shared" si="31"/>
        <v>32</v>
      </c>
      <c r="S186" s="61">
        <f t="shared" si="32"/>
        <v>66.333333333333329</v>
      </c>
      <c r="T186" s="59" t="str">
        <f>VLOOKUP(A186,Rīcibas_plans!$B$4:$D$234,3,FALSE)</f>
        <v xml:space="preserve">Liela mēroga galda spēļu izvietošana 3 vietās novadā </v>
      </c>
      <c r="U186" s="59" t="str">
        <f>VLOOKUP(A186,Rīcibas_plans!$B$5:$Q$234,14,FALSE)</f>
        <v xml:space="preserve">Izvietot liela mēroga galda spēles kā galda teniss, šahs. Piemērots izvietošanai nelielos skvēros vai L un XL tipa rotaļu laukumos. </v>
      </c>
    </row>
    <row r="187" spans="1:21" ht="115.15">
      <c r="A187" s="58" t="s">
        <v>230</v>
      </c>
      <c r="B187">
        <v>1100000</v>
      </c>
      <c r="C187">
        <v>5000</v>
      </c>
      <c r="D187">
        <v>120000</v>
      </c>
      <c r="E187">
        <v>48000</v>
      </c>
      <c r="F187">
        <v>7</v>
      </c>
      <c r="J187" s="61">
        <f t="shared" si="23"/>
        <v>4.5454545454545452E-3</v>
      </c>
      <c r="K187" s="60">
        <f t="shared" si="24"/>
        <v>0.10909090909090909</v>
      </c>
      <c r="L187" s="60">
        <f t="shared" si="25"/>
        <v>4.363636363636364E-2</v>
      </c>
      <c r="M187">
        <f t="shared" si="26"/>
        <v>26</v>
      </c>
      <c r="N187">
        <f t="shared" si="27"/>
        <v>95</v>
      </c>
      <c r="O187">
        <f t="shared" si="28"/>
        <v>86</v>
      </c>
      <c r="P187">
        <f t="shared" si="29"/>
        <v>147</v>
      </c>
      <c r="Q187">
        <f t="shared" si="30"/>
        <v>174</v>
      </c>
      <c r="R187">
        <f t="shared" si="31"/>
        <v>176</v>
      </c>
      <c r="S187" s="61">
        <f t="shared" si="32"/>
        <v>117.33333333333333</v>
      </c>
      <c r="T187" s="59" t="str">
        <f>VLOOKUP(A187,Rīcibas_plans!$B$4:$D$234,3,FALSE)</f>
        <v>Ķekavas parka ZK-daļa, Gaismas iela 1C,</v>
      </c>
      <c r="U187" s="59" t="str">
        <f>VLOOKUP(A187,Rīcibas_plans!$B$5:$Q$234,14,FALSE)</f>
        <v>Gājēju ceļu izbūve un lietišķās atpūtas vietu labiekārtošana (S un M tipa). Uzlabot pieejamību pie Brāļu kapu teritorijas (uzkalniņa). Izvērtēt skatu atvēršanu no Brāļu kapu kalniņa</v>
      </c>
    </row>
    <row r="188" spans="1:21" ht="115.15">
      <c r="A188" s="58" t="s">
        <v>231</v>
      </c>
      <c r="B188">
        <v>13825</v>
      </c>
      <c r="C188">
        <v>1000</v>
      </c>
      <c r="D188">
        <v>120000</v>
      </c>
      <c r="E188">
        <v>120000</v>
      </c>
      <c r="F188">
        <v>7</v>
      </c>
      <c r="J188" s="61">
        <f t="shared" si="23"/>
        <v>7.2332730560578665E-2</v>
      </c>
      <c r="K188" s="60">
        <f t="shared" si="24"/>
        <v>8.679927667269439</v>
      </c>
      <c r="L188" s="60">
        <f t="shared" si="25"/>
        <v>8.679927667269439</v>
      </c>
      <c r="M188">
        <f t="shared" si="26"/>
        <v>93</v>
      </c>
      <c r="N188">
        <f t="shared" si="27"/>
        <v>95</v>
      </c>
      <c r="O188">
        <f t="shared" si="28"/>
        <v>42</v>
      </c>
      <c r="P188">
        <f t="shared" si="29"/>
        <v>60</v>
      </c>
      <c r="Q188">
        <f t="shared" si="30"/>
        <v>61</v>
      </c>
      <c r="R188">
        <f t="shared" si="31"/>
        <v>24</v>
      </c>
      <c r="S188" s="61">
        <f t="shared" si="32"/>
        <v>62.5</v>
      </c>
      <c r="T188" s="59" t="str">
        <f>VLOOKUP(A188,Rīcibas_plans!$B$4:$D$234,3,FALSE)</f>
        <v>Ķekavas parka ZK-daļa, Gaismas iela 1C,</v>
      </c>
      <c r="U188" s="59" t="str">
        <f>VLOOKUP(A188,Rīcibas_plans!$B$5:$Q$234,14,FALSE)</f>
        <v>Gājēju ceļu izbūve un lietišķās atpūtas vietu labiekārtošana (S un M tipa). Uzlabot pieejamību pie Brāļu kapu teritorijas (uzkalniņa). Izvērtēt skatu atvēršanu no Brāļu kapu kalniņa</v>
      </c>
    </row>
    <row r="189" spans="1:21" ht="57.6">
      <c r="A189" s="58" t="s">
        <v>232</v>
      </c>
      <c r="B189">
        <v>27500</v>
      </c>
      <c r="C189">
        <v>2500</v>
      </c>
      <c r="D189">
        <v>120000</v>
      </c>
      <c r="E189">
        <v>60000</v>
      </c>
      <c r="F189">
        <v>3</v>
      </c>
      <c r="J189" s="61">
        <f t="shared" si="23"/>
        <v>9.0909090909090912E-2</v>
      </c>
      <c r="K189" s="60">
        <f t="shared" si="24"/>
        <v>4.3636363636363633</v>
      </c>
      <c r="L189" s="60">
        <f t="shared" si="25"/>
        <v>2.1818181818181817</v>
      </c>
      <c r="M189">
        <f t="shared" si="26"/>
        <v>55</v>
      </c>
      <c r="N189">
        <f t="shared" si="27"/>
        <v>95</v>
      </c>
      <c r="O189">
        <f t="shared" si="28"/>
        <v>71</v>
      </c>
      <c r="P189">
        <f t="shared" si="29"/>
        <v>50</v>
      </c>
      <c r="Q189">
        <f t="shared" si="30"/>
        <v>78</v>
      </c>
      <c r="R189">
        <f t="shared" si="31"/>
        <v>62</v>
      </c>
      <c r="S189" s="61">
        <f t="shared" si="32"/>
        <v>68.5</v>
      </c>
      <c r="T189" s="59" t="str">
        <f>VLOOKUP(A189,Rīcibas_plans!$B$4:$D$234,3,FALSE)</f>
        <v>Ķekavas upes ieteka, Ķekavas parks, Rīgas iela 71A,</v>
      </c>
      <c r="U189" s="59" t="str">
        <f>VLOOKUP(A189,Rīcibas_plans!$B$5:$Q$234,14,FALSE)</f>
        <v xml:space="preserve">Gājēju ceļu izbūve, veidojot savienojumus ar citām rekreācijas teritorijām. Stāvlaukums </v>
      </c>
    </row>
    <row r="190" spans="1:21" ht="43.15">
      <c r="A190" s="58" t="s">
        <v>233</v>
      </c>
      <c r="B190">
        <v>11000</v>
      </c>
      <c r="C190">
        <v>2500</v>
      </c>
      <c r="D190">
        <v>240000</v>
      </c>
      <c r="E190">
        <v>120000</v>
      </c>
      <c r="F190">
        <v>1</v>
      </c>
      <c r="J190" s="61">
        <f t="shared" si="23"/>
        <v>0.22727272727272727</v>
      </c>
      <c r="K190" s="60">
        <f t="shared" si="24"/>
        <v>21.818181818181817</v>
      </c>
      <c r="L190" s="60">
        <f t="shared" si="25"/>
        <v>10.909090909090908</v>
      </c>
      <c r="M190">
        <f t="shared" si="26"/>
        <v>55</v>
      </c>
      <c r="N190">
        <f t="shared" si="27"/>
        <v>66</v>
      </c>
      <c r="O190">
        <f t="shared" si="28"/>
        <v>42</v>
      </c>
      <c r="P190">
        <f t="shared" si="29"/>
        <v>30</v>
      </c>
      <c r="Q190">
        <f t="shared" si="30"/>
        <v>32</v>
      </c>
      <c r="R190">
        <f t="shared" si="31"/>
        <v>20</v>
      </c>
      <c r="S190" s="61">
        <f t="shared" si="32"/>
        <v>40.833333333333336</v>
      </c>
      <c r="T190" s="59" t="str">
        <f>VLOOKUP(A190,Rīcibas_plans!$B$4:$D$234,3,FALSE)</f>
        <v>Ķekavas upes ieteka, Ķekavas parks, Rīgas iela 71A,</v>
      </c>
      <c r="U190" s="59" t="str">
        <f>VLOOKUP(A190,Rīcibas_plans!$B$5:$Q$234,14,FALSE)</f>
        <v>Gājēju ceļu izbūve, veidojot savienojumus ar citām rekreācijas teritorijām</v>
      </c>
    </row>
    <row r="191" spans="1:21" ht="28.9">
      <c r="A191" s="58" t="s">
        <v>234</v>
      </c>
      <c r="B191">
        <v>15000</v>
      </c>
      <c r="C191">
        <v>500</v>
      </c>
      <c r="D191">
        <v>48000</v>
      </c>
      <c r="E191">
        <v>24000</v>
      </c>
      <c r="F191">
        <v>3</v>
      </c>
      <c r="J191" s="61">
        <f t="shared" si="23"/>
        <v>3.3333333333333333E-2</v>
      </c>
      <c r="K191" s="60">
        <f t="shared" si="24"/>
        <v>3.2</v>
      </c>
      <c r="L191" s="60">
        <f t="shared" si="25"/>
        <v>1.6</v>
      </c>
      <c r="M191">
        <f t="shared" si="26"/>
        <v>149</v>
      </c>
      <c r="N191">
        <f t="shared" si="27"/>
        <v>151</v>
      </c>
      <c r="O191">
        <f t="shared" si="28"/>
        <v>127</v>
      </c>
      <c r="P191">
        <f t="shared" si="29"/>
        <v>95</v>
      </c>
      <c r="Q191">
        <f t="shared" si="30"/>
        <v>90</v>
      </c>
      <c r="R191">
        <f t="shared" si="31"/>
        <v>73</v>
      </c>
      <c r="S191" s="61">
        <f t="shared" si="32"/>
        <v>114.16666666666667</v>
      </c>
      <c r="T191" s="59" t="str">
        <f>VLOOKUP(A191,Rīcibas_plans!$B$4:$D$234,3,FALSE)</f>
        <v>Ķekavas upes ieteka, Ķekavas parks, Rīgas iela 71A,</v>
      </c>
      <c r="U191" s="59" t="str">
        <f>VLOOKUP(A191,Rīcibas_plans!$B$5:$Q$234,14,FALSE)</f>
        <v>Laivu nolaišanas vietas izbūve</v>
      </c>
    </row>
    <row r="192" spans="1:21" ht="43.15">
      <c r="A192" s="58" t="s">
        <v>235</v>
      </c>
      <c r="B192">
        <v>150000</v>
      </c>
      <c r="C192">
        <v>150</v>
      </c>
      <c r="D192">
        <v>14400</v>
      </c>
      <c r="E192">
        <v>14400</v>
      </c>
      <c r="F192">
        <v>2</v>
      </c>
      <c r="J192" s="61">
        <f t="shared" si="23"/>
        <v>1E-3</v>
      </c>
      <c r="K192" s="60">
        <f t="shared" si="24"/>
        <v>9.6000000000000002E-2</v>
      </c>
      <c r="L192" s="60">
        <f t="shared" si="25"/>
        <v>9.6000000000000002E-2</v>
      </c>
      <c r="M192">
        <f t="shared" si="26"/>
        <v>202</v>
      </c>
      <c r="N192">
        <f t="shared" si="27"/>
        <v>187</v>
      </c>
      <c r="O192">
        <f t="shared" si="28"/>
        <v>147</v>
      </c>
      <c r="P192">
        <f t="shared" si="29"/>
        <v>182</v>
      </c>
      <c r="Q192">
        <f t="shared" si="30"/>
        <v>177</v>
      </c>
      <c r="R192">
        <f t="shared" si="31"/>
        <v>159</v>
      </c>
      <c r="S192" s="61">
        <f t="shared" si="32"/>
        <v>175.66666666666666</v>
      </c>
      <c r="T192" s="59" t="str">
        <f>VLOOKUP(A192,Rīcibas_plans!$B$4:$D$234,3,FALSE)</f>
        <v>Ķekavas upes ieteka, Ūdens porta veidu centra stāvlaukums Ķekavas parks, Rīgas iela 71A,</v>
      </c>
      <c r="U192" s="59" t="str">
        <f>VLOOKUP(A192,Rīcibas_plans!$B$5:$Q$234,14,FALSE)</f>
        <v>Stāvlaukuma izbūve</v>
      </c>
    </row>
    <row r="193" spans="1:21" ht="43.15">
      <c r="A193" s="58" t="s">
        <v>236</v>
      </c>
      <c r="B193">
        <v>137500</v>
      </c>
      <c r="C193">
        <v>5500</v>
      </c>
      <c r="D193">
        <v>330000</v>
      </c>
      <c r="E193">
        <v>330000</v>
      </c>
      <c r="F193">
        <v>2</v>
      </c>
      <c r="J193" s="61">
        <f t="shared" si="23"/>
        <v>0.04</v>
      </c>
      <c r="K193" s="60">
        <f t="shared" si="24"/>
        <v>2.4</v>
      </c>
      <c r="L193" s="60">
        <f t="shared" si="25"/>
        <v>2.4</v>
      </c>
      <c r="M193">
        <f t="shared" si="26"/>
        <v>23</v>
      </c>
      <c r="N193">
        <f t="shared" si="27"/>
        <v>54</v>
      </c>
      <c r="O193">
        <f t="shared" si="28"/>
        <v>22</v>
      </c>
      <c r="P193">
        <f t="shared" si="29"/>
        <v>85</v>
      </c>
      <c r="Q193">
        <f t="shared" si="30"/>
        <v>98</v>
      </c>
      <c r="R193">
        <f t="shared" si="31"/>
        <v>57</v>
      </c>
      <c r="S193" s="61">
        <f t="shared" si="32"/>
        <v>56.5</v>
      </c>
      <c r="T193" s="59" t="str">
        <f>VLOOKUP(A193,Rīcibas_plans!$B$4:$D$234,3,FALSE)</f>
        <v>Ķekavas parks K-krasts, Gaismas iela 7B (80700082650)</v>
      </c>
      <c r="U193" s="59" t="str">
        <f>VLOOKUP(A193,Rīcibas_plans!$B$5:$Q$234,14,FALSE)</f>
        <v>Gājēju ceļu izbūve, veidojot savienojumus ar citām rekreācijas teritorijām</v>
      </c>
    </row>
    <row r="194" spans="1:21" ht="43.15">
      <c r="A194" s="58" t="s">
        <v>237</v>
      </c>
      <c r="C194">
        <v>5500</v>
      </c>
      <c r="D194">
        <v>330000</v>
      </c>
      <c r="E194">
        <v>330000</v>
      </c>
      <c r="F194">
        <v>2</v>
      </c>
      <c r="J194" s="61" t="str">
        <f t="shared" si="23"/>
        <v/>
      </c>
      <c r="K194" s="60" t="str">
        <f t="shared" si="24"/>
        <v/>
      </c>
      <c r="L194" s="60" t="str">
        <f t="shared" si="25"/>
        <v/>
      </c>
      <c r="M194">
        <f t="shared" si="26"/>
        <v>23</v>
      </c>
      <c r="N194">
        <f t="shared" si="27"/>
        <v>54</v>
      </c>
      <c r="O194">
        <f t="shared" si="28"/>
        <v>22</v>
      </c>
      <c r="P194" t="e">
        <f t="shared" si="29"/>
        <v>#VALUE!</v>
      </c>
      <c r="Q194" t="e">
        <f t="shared" si="30"/>
        <v>#VALUE!</v>
      </c>
      <c r="R194" t="e">
        <f t="shared" si="31"/>
        <v>#VALUE!</v>
      </c>
      <c r="S194" s="61" t="e">
        <f t="shared" si="32"/>
        <v>#VALUE!</v>
      </c>
      <c r="T194" s="59" t="str">
        <f>VLOOKUP(A194,Rīcibas_plans!$B$4:$D$234,3,FALSE)</f>
        <v>Ķekavas parks VK-daļa, Gaismas iela 7A,</v>
      </c>
      <c r="U194" s="59" t="str">
        <f>VLOOKUP(A194,Rīcibas_plans!$B$5:$Q$234,14,FALSE)</f>
        <v>Gājēju ceļu izbūve, veidojot savienojumus ar citām rekreācijas teritorijām</v>
      </c>
    </row>
    <row r="195" spans="1:21" ht="28.9">
      <c r="A195" s="58" t="s">
        <v>238</v>
      </c>
      <c r="B195">
        <v>0</v>
      </c>
      <c r="C195">
        <v>150</v>
      </c>
      <c r="D195">
        <v>36000</v>
      </c>
      <c r="E195">
        <v>7200</v>
      </c>
      <c r="F195">
        <v>3</v>
      </c>
      <c r="J195" s="61" t="str">
        <f t="shared" si="23"/>
        <v/>
      </c>
      <c r="K195" s="60" t="str">
        <f t="shared" si="24"/>
        <v/>
      </c>
      <c r="L195" s="60" t="str">
        <f t="shared" si="25"/>
        <v/>
      </c>
      <c r="M195">
        <f t="shared" si="26"/>
        <v>202</v>
      </c>
      <c r="N195">
        <f t="shared" si="27"/>
        <v>155</v>
      </c>
      <c r="O195">
        <f t="shared" si="28"/>
        <v>172</v>
      </c>
      <c r="P195" t="e">
        <f t="shared" si="29"/>
        <v>#VALUE!</v>
      </c>
      <c r="Q195" t="e">
        <f t="shared" si="30"/>
        <v>#VALUE!</v>
      </c>
      <c r="R195" t="e">
        <f t="shared" si="31"/>
        <v>#VALUE!</v>
      </c>
      <c r="S195" s="61" t="e">
        <f t="shared" si="32"/>
        <v>#VALUE!</v>
      </c>
      <c r="T195" s="59" t="str">
        <f>VLOOKUP(A195,Rīcibas_plans!$B$4:$D$234,3,FALSE)</f>
        <v>Mikromobilitātes punkts Mellupos/Plakanciemā</v>
      </c>
      <c r="U195" s="59" t="str">
        <f>VLOOKUP(A195,Rīcibas_plans!$B$5:$Q$234,14,FALSE)</f>
        <v>Mikromobilitātes punkta izveide</v>
      </c>
    </row>
    <row r="196" spans="1:21" ht="43.15">
      <c r="A196" s="58" t="s">
        <v>239</v>
      </c>
      <c r="B196">
        <v>13625</v>
      </c>
      <c r="C196">
        <v>50</v>
      </c>
      <c r="D196">
        <v>6000</v>
      </c>
      <c r="E196">
        <v>6000</v>
      </c>
      <c r="F196">
        <v>1</v>
      </c>
      <c r="J196" s="61">
        <f t="shared" si="23"/>
        <v>3.669724770642202E-3</v>
      </c>
      <c r="K196" s="60">
        <f t="shared" si="24"/>
        <v>0.44036697247706424</v>
      </c>
      <c r="L196" s="60">
        <f t="shared" si="25"/>
        <v>0.44036697247706424</v>
      </c>
      <c r="M196">
        <f t="shared" si="26"/>
        <v>215</v>
      </c>
      <c r="N196">
        <f t="shared" si="27"/>
        <v>196</v>
      </c>
      <c r="O196">
        <f t="shared" si="28"/>
        <v>180</v>
      </c>
      <c r="P196">
        <f t="shared" si="29"/>
        <v>151</v>
      </c>
      <c r="Q196">
        <f t="shared" si="30"/>
        <v>148</v>
      </c>
      <c r="R196">
        <f t="shared" si="31"/>
        <v>110</v>
      </c>
      <c r="S196" s="61">
        <f t="shared" si="32"/>
        <v>166.66666666666666</v>
      </c>
      <c r="T196" s="59" t="str">
        <f>VLOOKUP(A196,Rīcibas_plans!$B$4:$D$234,3,FALSE)</f>
        <v>Rotaļu laukuma izveide Mellupos zemes gabalā pie autoceļa V7 (Baloži - Plakanciems - Iecava)</v>
      </c>
      <c r="U196" s="59" t="str">
        <f>VLOOKUP(A196,Rīcibas_plans!$B$5:$Q$234,14,FALSE)</f>
        <v xml:space="preserve">Rotaļu laukuma izbūve pašvaldības īpašumā </v>
      </c>
    </row>
    <row r="197" spans="1:21" ht="43.15">
      <c r="A197" s="58" t="s">
        <v>240</v>
      </c>
      <c r="B197">
        <v>13625</v>
      </c>
      <c r="C197">
        <v>50</v>
      </c>
      <c r="D197">
        <v>6000</v>
      </c>
      <c r="E197">
        <v>6000</v>
      </c>
      <c r="F197">
        <v>2</v>
      </c>
      <c r="J197" s="61">
        <f t="shared" ref="J197:J232" si="33">IFERROR(C197/B197,"")</f>
        <v>3.669724770642202E-3</v>
      </c>
      <c r="K197" s="60">
        <f t="shared" ref="K197:K232" si="34">IFERROR(D197/B197,"")</f>
        <v>0.44036697247706424</v>
      </c>
      <c r="L197" s="60">
        <f t="shared" ref="L197:L232" si="35">IFERROR(E197/B197, "")</f>
        <v>0.44036697247706424</v>
      </c>
      <c r="M197">
        <f t="shared" ref="M197:M232" si="36">_xlfn.RANK.EQ(C197,C$4:C$232,0)</f>
        <v>215</v>
      </c>
      <c r="N197">
        <f t="shared" ref="N197:N232" si="37">_xlfn.RANK.EQ(D197,D$4:D$232,0)</f>
        <v>196</v>
      </c>
      <c r="O197">
        <f t="shared" ref="O197:O232" si="38">_xlfn.RANK.EQ(E197,E$4:E$232,0)</f>
        <v>180</v>
      </c>
      <c r="P197">
        <f t="shared" ref="P197:P232" si="39">_xlfn.RANK.EQ(J197,J$4:J$232,0)</f>
        <v>151</v>
      </c>
      <c r="Q197">
        <f t="shared" ref="Q197:Q232" si="40">_xlfn.RANK.EQ(K197,K$4:K$232,0)</f>
        <v>148</v>
      </c>
      <c r="R197">
        <f t="shared" ref="R197:R232" si="41">_xlfn.RANK.EQ(L197,L$4:L$232,0)</f>
        <v>110</v>
      </c>
      <c r="S197" s="61">
        <f t="shared" ref="S197:S232" si="42">AVERAGE(M197:R197)</f>
        <v>166.66666666666666</v>
      </c>
      <c r="T197" s="59" t="str">
        <f>VLOOKUP(A197,Rīcibas_plans!$B$4:$D$234,3,FALSE)</f>
        <v>Kopienas centra un rotaļu laukuma izveide Plakanciemā (kad. nr.80700160021 vai 80700140226)</v>
      </c>
      <c r="U197" s="59" t="str">
        <f>VLOOKUP(A197,Rīcibas_plans!$B$5:$Q$234,14,FALSE)</f>
        <v xml:space="preserve">Rotaļu laukuma izbūve pašvaldības īpašumā </v>
      </c>
    </row>
    <row r="198" spans="1:21">
      <c r="A198" s="58" t="s">
        <v>241</v>
      </c>
      <c r="B198">
        <v>15000</v>
      </c>
      <c r="C198">
        <v>20</v>
      </c>
      <c r="D198">
        <v>120</v>
      </c>
      <c r="E198">
        <v>60</v>
      </c>
      <c r="F198">
        <v>3</v>
      </c>
      <c r="J198" s="61">
        <f t="shared" si="33"/>
        <v>1.3333333333333333E-3</v>
      </c>
      <c r="K198" s="60">
        <f t="shared" si="34"/>
        <v>8.0000000000000002E-3</v>
      </c>
      <c r="L198" s="60">
        <f t="shared" si="35"/>
        <v>4.0000000000000001E-3</v>
      </c>
      <c r="M198">
        <f t="shared" si="36"/>
        <v>225</v>
      </c>
      <c r="N198">
        <f t="shared" si="37"/>
        <v>228</v>
      </c>
      <c r="O198">
        <f t="shared" si="38"/>
        <v>225</v>
      </c>
      <c r="P198">
        <f t="shared" si="39"/>
        <v>180</v>
      </c>
      <c r="Q198">
        <f t="shared" si="40"/>
        <v>190</v>
      </c>
      <c r="R198">
        <f t="shared" si="41"/>
        <v>189</v>
      </c>
      <c r="S198" s="61">
        <f t="shared" si="42"/>
        <v>206.16666666666666</v>
      </c>
      <c r="T198" s="59" t="str">
        <f>VLOOKUP(A198,Rīcibas_plans!$B$4:$D$234,3,FALSE)</f>
        <v>Laivu nolaišanas vieta ūdenī abpus ceļam.</v>
      </c>
      <c r="U198" s="59" t="str">
        <f>VLOOKUP(A198,Rīcibas_plans!$B$5:$Q$234,14,FALSE)</f>
        <v>Laivu nolaišanas vieta</v>
      </c>
    </row>
    <row r="199" spans="1:21" ht="43.15">
      <c r="A199" s="58" t="s">
        <v>242</v>
      </c>
      <c r="B199">
        <v>7160</v>
      </c>
      <c r="C199">
        <v>300</v>
      </c>
      <c r="D199">
        <v>54000</v>
      </c>
      <c r="E199">
        <v>540</v>
      </c>
      <c r="F199">
        <v>7</v>
      </c>
      <c r="J199" s="61">
        <f t="shared" si="33"/>
        <v>4.189944134078212E-2</v>
      </c>
      <c r="K199" s="60">
        <f t="shared" si="34"/>
        <v>7.5418994413407825</v>
      </c>
      <c r="L199" s="60">
        <f t="shared" si="35"/>
        <v>7.5418994413407825E-2</v>
      </c>
      <c r="M199">
        <f t="shared" si="36"/>
        <v>178</v>
      </c>
      <c r="N199">
        <f t="shared" si="37"/>
        <v>150</v>
      </c>
      <c r="O199">
        <f t="shared" si="38"/>
        <v>216</v>
      </c>
      <c r="P199">
        <f t="shared" si="39"/>
        <v>83</v>
      </c>
      <c r="Q199">
        <f t="shared" si="40"/>
        <v>67</v>
      </c>
      <c r="R199">
        <f t="shared" si="41"/>
        <v>167</v>
      </c>
      <c r="S199" s="61">
        <f t="shared" si="42"/>
        <v>143.5</v>
      </c>
      <c r="T199" s="59" t="str">
        <f>VLOOKUP(A199,Rīcibas_plans!$B$4:$D$234,3,FALSE)</f>
        <v>Tilts pāri Titurgas upei starp zemes gabaliem Akmeņkaļu ielā 17 un Akmeņkaļu ielā 11, Alejās</v>
      </c>
      <c r="U199" s="59" t="str">
        <f>VLOOKUP(A199,Rīcibas_plans!$B$5:$Q$234,14,FALSE)</f>
        <v>Lietišķās atpūtas vieta (L tipa) pie atpūtas vietas ar skatu uz Titurgas upi.</v>
      </c>
    </row>
    <row r="200" spans="1:21" ht="57.6">
      <c r="A200" s="58" t="s">
        <v>243</v>
      </c>
      <c r="B200">
        <v>412500</v>
      </c>
      <c r="C200">
        <v>3000</v>
      </c>
      <c r="D200">
        <v>360000</v>
      </c>
      <c r="E200">
        <v>180000</v>
      </c>
      <c r="F200">
        <v>3</v>
      </c>
      <c r="J200" s="61">
        <f t="shared" si="33"/>
        <v>7.2727272727272727E-3</v>
      </c>
      <c r="K200" s="60">
        <f t="shared" si="34"/>
        <v>0.87272727272727268</v>
      </c>
      <c r="L200" s="60">
        <f t="shared" si="35"/>
        <v>0.43636363636363634</v>
      </c>
      <c r="M200">
        <f t="shared" si="36"/>
        <v>40</v>
      </c>
      <c r="N200">
        <f t="shared" si="37"/>
        <v>43</v>
      </c>
      <c r="O200">
        <f t="shared" si="38"/>
        <v>34</v>
      </c>
      <c r="P200">
        <f t="shared" si="39"/>
        <v>132</v>
      </c>
      <c r="Q200">
        <f t="shared" si="40"/>
        <v>121</v>
      </c>
      <c r="R200">
        <f t="shared" si="41"/>
        <v>112</v>
      </c>
      <c r="S200" s="61">
        <f t="shared" si="42"/>
        <v>80.333333333333329</v>
      </c>
      <c r="T200" s="59" t="str">
        <f>VLOOKUP(A200,Rīcibas_plans!$B$4:$D$234,3,FALSE)</f>
        <v>Ziedoņa  skvērs pie Mazlēpju, Ozolīšu ielām un autoceļa V2 (Valdlauči - Rāmava)</v>
      </c>
      <c r="U200" s="59" t="str">
        <f>VLOOKUP(A200,Rīcibas_plans!$B$5:$Q$234,14,FALSE)</f>
        <v>Skvēra rekonstrukcija - gājēju zona, lietišķās atpūtas vieta (L tips), apstādījumu zona.</v>
      </c>
    </row>
    <row r="201" spans="1:21" ht="43.15">
      <c r="A201" s="58" t="s">
        <v>244</v>
      </c>
      <c r="B201">
        <v>100000</v>
      </c>
      <c r="C201">
        <v>6000</v>
      </c>
      <c r="D201">
        <v>288000</v>
      </c>
      <c r="E201">
        <v>432000</v>
      </c>
      <c r="F201">
        <v>3</v>
      </c>
      <c r="J201" s="61">
        <f t="shared" si="33"/>
        <v>0.06</v>
      </c>
      <c r="K201" s="60">
        <f t="shared" si="34"/>
        <v>2.88</v>
      </c>
      <c r="L201" s="60">
        <f t="shared" si="35"/>
        <v>4.32</v>
      </c>
      <c r="M201">
        <f t="shared" si="36"/>
        <v>5</v>
      </c>
      <c r="N201">
        <f t="shared" si="37"/>
        <v>58</v>
      </c>
      <c r="O201">
        <f t="shared" si="38"/>
        <v>16</v>
      </c>
      <c r="P201">
        <f t="shared" si="39"/>
        <v>68</v>
      </c>
      <c r="Q201">
        <f t="shared" si="40"/>
        <v>93</v>
      </c>
      <c r="R201">
        <f t="shared" si="41"/>
        <v>42</v>
      </c>
      <c r="S201" s="61">
        <f t="shared" si="42"/>
        <v>47</v>
      </c>
      <c r="T201" s="59" t="str">
        <f>VLOOKUP(A201,Rīcibas_plans!$B$4:$D$234,3,FALSE)</f>
        <v>Mežaparka zona "Baltā kāpa"</v>
      </c>
      <c r="U201" s="59" t="str">
        <f>VLOOKUP(A201,Rīcibas_plans!$B$5:$Q$234,14,FALSE)</f>
        <v>Ceļu tīkls, savienojums ar citām rekreācijas teritorijām</v>
      </c>
    </row>
    <row r="202" spans="1:21" ht="100.9">
      <c r="A202" s="58" t="s">
        <v>245</v>
      </c>
      <c r="B202">
        <v>216000</v>
      </c>
      <c r="C202">
        <v>1000</v>
      </c>
      <c r="D202">
        <v>24000</v>
      </c>
      <c r="E202">
        <v>18000</v>
      </c>
      <c r="F202">
        <v>7</v>
      </c>
      <c r="J202" s="61">
        <f t="shared" si="33"/>
        <v>4.6296296296296294E-3</v>
      </c>
      <c r="K202" s="60">
        <f t="shared" si="34"/>
        <v>0.1111111111111111</v>
      </c>
      <c r="L202" s="60">
        <f t="shared" si="35"/>
        <v>8.3333333333333329E-2</v>
      </c>
      <c r="M202">
        <f t="shared" si="36"/>
        <v>93</v>
      </c>
      <c r="N202">
        <f t="shared" si="37"/>
        <v>165</v>
      </c>
      <c r="O202">
        <f t="shared" si="38"/>
        <v>135</v>
      </c>
      <c r="P202">
        <f t="shared" si="39"/>
        <v>145</v>
      </c>
      <c r="Q202">
        <f t="shared" si="40"/>
        <v>173</v>
      </c>
      <c r="R202">
        <f t="shared" si="41"/>
        <v>164</v>
      </c>
      <c r="S202" s="61">
        <f t="shared" si="42"/>
        <v>145.83333333333334</v>
      </c>
      <c r="T202" s="59" t="str">
        <f>VLOOKUP(A202,Rīcibas_plans!$B$4:$D$234,3,FALSE)</f>
        <v>Ķekavas pašvaldības īpašums "Foreles"</v>
      </c>
      <c r="U202" s="59" t="str">
        <f>VLOOKUP(A202,Rīcibas_plans!$B$5:$Q$234,14,FALSE)</f>
        <v>Teritorjias iekļaušana kopējā taku tīklā (maršrutā) gar Daugavu. Attīstība uzsākama pēc tam, kad tiks veikta attīstība īpašumā ar kadastra Nr. 80700050114</v>
      </c>
    </row>
    <row r="203" spans="1:21" ht="115.15">
      <c r="A203" s="58" t="s">
        <v>246</v>
      </c>
      <c r="B203">
        <v>1000000</v>
      </c>
      <c r="C203">
        <v>6000</v>
      </c>
      <c r="D203">
        <v>1440000</v>
      </c>
      <c r="E203">
        <v>360000</v>
      </c>
      <c r="F203">
        <v>7</v>
      </c>
      <c r="J203" s="61">
        <f t="shared" si="33"/>
        <v>6.0000000000000001E-3</v>
      </c>
      <c r="K203" s="60">
        <f t="shared" si="34"/>
        <v>1.44</v>
      </c>
      <c r="L203" s="60">
        <f t="shared" si="35"/>
        <v>0.36</v>
      </c>
      <c r="M203">
        <f t="shared" si="36"/>
        <v>5</v>
      </c>
      <c r="N203">
        <f t="shared" si="37"/>
        <v>9</v>
      </c>
      <c r="O203">
        <f t="shared" si="38"/>
        <v>18</v>
      </c>
      <c r="P203">
        <f t="shared" si="39"/>
        <v>143</v>
      </c>
      <c r="Q203">
        <f t="shared" si="40"/>
        <v>111</v>
      </c>
      <c r="R203">
        <f t="shared" si="41"/>
        <v>116</v>
      </c>
      <c r="S203" s="61">
        <f t="shared" si="42"/>
        <v>67</v>
      </c>
      <c r="T203" s="59" t="str">
        <f>VLOOKUP(A203,Rīcibas_plans!$B$4:$D$234,3,FALSE)</f>
        <v>Zemes gagals "Ābuli" pie autoceļa V2 (Valdlauči -Rāmava)</v>
      </c>
      <c r="U203" s="59" t="str">
        <f>VLOOKUP(A203,Rīcibas_plans!$B$5:$Q$234,14,FALSE)</f>
        <v>Lietišķās atpūtas vietas (S tipa), automašīnu stāvlaukuma zona, velosipēdu novietņu zona, aktīvās atpūtas zona - sporta laukums, stadions, bērnu rotaļu laukums (L tipa)</v>
      </c>
    </row>
    <row r="204" spans="1:21" ht="115.15">
      <c r="A204" s="58" t="s">
        <v>247</v>
      </c>
      <c r="B204">
        <v>30325</v>
      </c>
      <c r="C204">
        <v>6000</v>
      </c>
      <c r="D204">
        <v>576000</v>
      </c>
      <c r="E204">
        <v>576000</v>
      </c>
      <c r="F204">
        <v>7</v>
      </c>
      <c r="J204" s="61">
        <f t="shared" si="33"/>
        <v>0.1978565539983512</v>
      </c>
      <c r="K204" s="60">
        <f t="shared" si="34"/>
        <v>18.994229183841714</v>
      </c>
      <c r="L204" s="60">
        <f t="shared" si="35"/>
        <v>18.994229183841714</v>
      </c>
      <c r="M204">
        <f t="shared" si="36"/>
        <v>5</v>
      </c>
      <c r="N204">
        <f t="shared" si="37"/>
        <v>31</v>
      </c>
      <c r="O204">
        <f t="shared" si="38"/>
        <v>7</v>
      </c>
      <c r="P204">
        <f t="shared" si="39"/>
        <v>34</v>
      </c>
      <c r="Q204">
        <f t="shared" si="40"/>
        <v>35</v>
      </c>
      <c r="R204">
        <f t="shared" si="41"/>
        <v>13</v>
      </c>
      <c r="S204" s="61">
        <f t="shared" si="42"/>
        <v>20.833333333333332</v>
      </c>
      <c r="T204" s="59" t="str">
        <f>VLOOKUP(A204,Rīcibas_plans!$B$4:$D$234,3,FALSE)</f>
        <v>Plānota Katlakalna skolas vieta pie autoceļa V2 (Valdlauči -Rāmava)</v>
      </c>
      <c r="U204" s="59" t="str">
        <f>VLOOKUP(A204,Rīcibas_plans!$B$5:$Q$234,14,FALSE)</f>
        <v>Lietišķās atpūtas vietas (S tipa), automašīnu stāvlaukuma zona, velosipēdu novietņu zona, aktīvās atpūtas zona - sporta laukums, stadions, bērnu rotaļu laukums (L tipa)</v>
      </c>
    </row>
    <row r="205" spans="1:21" ht="43.15">
      <c r="A205" s="58" t="s">
        <v>248</v>
      </c>
      <c r="B205">
        <v>59875</v>
      </c>
      <c r="C205">
        <v>2500</v>
      </c>
      <c r="D205">
        <v>450000</v>
      </c>
      <c r="E205">
        <v>450000</v>
      </c>
      <c r="F205">
        <v>7</v>
      </c>
      <c r="J205" s="61">
        <f t="shared" si="33"/>
        <v>4.1753653444676408E-2</v>
      </c>
      <c r="K205" s="60">
        <f t="shared" si="34"/>
        <v>7.515657620041754</v>
      </c>
      <c r="L205" s="60">
        <f t="shared" si="35"/>
        <v>7.515657620041754</v>
      </c>
      <c r="M205">
        <f t="shared" si="36"/>
        <v>55</v>
      </c>
      <c r="N205">
        <f t="shared" si="37"/>
        <v>41</v>
      </c>
      <c r="O205">
        <f t="shared" si="38"/>
        <v>13</v>
      </c>
      <c r="P205">
        <f t="shared" si="39"/>
        <v>84</v>
      </c>
      <c r="Q205">
        <f t="shared" si="40"/>
        <v>68</v>
      </c>
      <c r="R205">
        <f t="shared" si="41"/>
        <v>29</v>
      </c>
      <c r="S205" s="61">
        <f t="shared" si="42"/>
        <v>48.333333333333336</v>
      </c>
      <c r="T205" s="59" t="str">
        <f>VLOOKUP(A205,Rīcibas_plans!$B$4:$D$234,3,FALSE)</f>
        <v>Zemes gagals "Ābuli" pie autoceļa V2 (Valdlauči -Rāmava)</v>
      </c>
      <c r="U205" s="59" t="str">
        <f>VLOOKUP(A205,Rīcibas_plans!$B$5:$Q$234,14,FALSE)</f>
        <v>Aktīvās atpūtas labiekārtojuma elementi (L vai XL tipa)</v>
      </c>
    </row>
    <row r="206" spans="1:21" ht="57.6">
      <c r="A206" s="58" t="s">
        <v>249</v>
      </c>
      <c r="B206">
        <v>14320</v>
      </c>
      <c r="C206">
        <v>1500</v>
      </c>
      <c r="D206">
        <v>360000</v>
      </c>
      <c r="E206">
        <v>54000</v>
      </c>
      <c r="F206">
        <v>1</v>
      </c>
      <c r="J206" s="61">
        <f t="shared" si="33"/>
        <v>0.10474860335195531</v>
      </c>
      <c r="K206" s="60">
        <f t="shared" si="34"/>
        <v>25.139664804469273</v>
      </c>
      <c r="L206" s="60">
        <f t="shared" si="35"/>
        <v>3.7709497206703912</v>
      </c>
      <c r="M206">
        <f t="shared" si="36"/>
        <v>76</v>
      </c>
      <c r="N206">
        <f t="shared" si="37"/>
        <v>43</v>
      </c>
      <c r="O206">
        <f t="shared" si="38"/>
        <v>76</v>
      </c>
      <c r="P206">
        <f t="shared" si="39"/>
        <v>46</v>
      </c>
      <c r="Q206">
        <f t="shared" si="40"/>
        <v>29</v>
      </c>
      <c r="R206">
        <f t="shared" si="41"/>
        <v>46</v>
      </c>
      <c r="S206" s="61">
        <f t="shared" si="42"/>
        <v>52.666666666666664</v>
      </c>
      <c r="T206" s="59" t="str">
        <f>VLOOKUP(A206,Rīcibas_plans!$B$4:$D$234,3,FALSE)</f>
        <v>Sabiedriskā transporta pietura "Pļavniekkalns" , pie Pļavniekkalna ielas 20 (Pļavniekkalna sākumskolas)</v>
      </c>
      <c r="U206" s="59" t="str">
        <f>VLOOKUP(A206,Rīcibas_plans!$B$5:$Q$234,14,FALSE)</f>
        <v>Veikt pieturas pārbūvi, veidojot kā L tipa sabiedriskā transporta pieturu.</v>
      </c>
    </row>
    <row r="207" spans="1:21" ht="57.6">
      <c r="A207" s="58" t="s">
        <v>250</v>
      </c>
      <c r="B207">
        <v>14320</v>
      </c>
      <c r="C207">
        <v>1000</v>
      </c>
      <c r="D207">
        <v>240000</v>
      </c>
      <c r="E207">
        <v>36000</v>
      </c>
      <c r="F207">
        <v>1</v>
      </c>
      <c r="J207" s="61">
        <f t="shared" si="33"/>
        <v>6.9832402234636867E-2</v>
      </c>
      <c r="K207" s="60">
        <f t="shared" si="34"/>
        <v>16.759776536312849</v>
      </c>
      <c r="L207" s="60">
        <f t="shared" si="35"/>
        <v>2.5139664804469275</v>
      </c>
      <c r="M207">
        <f t="shared" si="36"/>
        <v>93</v>
      </c>
      <c r="N207">
        <f t="shared" si="37"/>
        <v>66</v>
      </c>
      <c r="O207">
        <f t="shared" si="38"/>
        <v>99</v>
      </c>
      <c r="P207">
        <f t="shared" si="39"/>
        <v>61</v>
      </c>
      <c r="Q207">
        <f t="shared" si="40"/>
        <v>36</v>
      </c>
      <c r="R207">
        <f t="shared" si="41"/>
        <v>53</v>
      </c>
      <c r="S207" s="61">
        <f t="shared" si="42"/>
        <v>68</v>
      </c>
      <c r="T207" s="59" t="str">
        <f>VLOOKUP(A207,Rīcibas_plans!$B$4:$D$234,3,FALSE)</f>
        <v>Sabiedriskā transporta pietura "Katlakalns", Ģipšustūrī</v>
      </c>
      <c r="U207" s="59" t="str">
        <f>VLOOKUP(A207,Rīcibas_plans!$B$5:$Q$234,14,FALSE)</f>
        <v>Veikt pieturas pārbūvi, veidojot kā L tipa sabiedriskā transporta pieturu.</v>
      </c>
    </row>
    <row r="208" spans="1:21" ht="57.6">
      <c r="A208" s="58" t="s">
        <v>251</v>
      </c>
      <c r="B208">
        <v>14320</v>
      </c>
      <c r="C208">
        <v>3000</v>
      </c>
      <c r="D208">
        <v>720000</v>
      </c>
      <c r="E208">
        <v>108000</v>
      </c>
      <c r="F208">
        <v>1</v>
      </c>
      <c r="J208" s="61">
        <f t="shared" si="33"/>
        <v>0.20949720670391062</v>
      </c>
      <c r="K208" s="60">
        <f t="shared" si="34"/>
        <v>50.279329608938546</v>
      </c>
      <c r="L208" s="60">
        <f t="shared" si="35"/>
        <v>7.5418994413407825</v>
      </c>
      <c r="M208">
        <f t="shared" si="36"/>
        <v>40</v>
      </c>
      <c r="N208">
        <f t="shared" si="37"/>
        <v>20</v>
      </c>
      <c r="O208">
        <f t="shared" si="38"/>
        <v>46</v>
      </c>
      <c r="P208">
        <f t="shared" si="39"/>
        <v>31</v>
      </c>
      <c r="Q208">
        <f t="shared" si="40"/>
        <v>18</v>
      </c>
      <c r="R208">
        <f t="shared" si="41"/>
        <v>27</v>
      </c>
      <c r="S208" s="61">
        <f t="shared" si="42"/>
        <v>30.333333333333332</v>
      </c>
      <c r="T208" s="59" t="str">
        <f>VLOOKUP(A208,Rīcibas_plans!$B$4:$D$234,3,FALSE)</f>
        <v>Sabiedriskā trnasporta pietura " Kooperatīvs Ziedonis" pie zemes gabala ``Katlakalna kapi``, Katlakalns,</v>
      </c>
      <c r="U208" s="59" t="str">
        <f>VLOOKUP(A208,Rīcibas_plans!$B$5:$Q$234,14,FALSE)</f>
        <v>Veikt pieturas pārbūvi, veidojot kā L tipa sabiedriskā transporta pieturu.</v>
      </c>
    </row>
    <row r="209" spans="1:21" ht="28.9">
      <c r="A209" s="58" t="s">
        <v>252</v>
      </c>
      <c r="B209">
        <v>9450</v>
      </c>
      <c r="C209">
        <v>3000</v>
      </c>
      <c r="D209">
        <v>360000</v>
      </c>
      <c r="E209">
        <v>54000</v>
      </c>
      <c r="F209">
        <v>1</v>
      </c>
      <c r="J209" s="61">
        <f t="shared" si="33"/>
        <v>0.31746031746031744</v>
      </c>
      <c r="K209" s="60">
        <f t="shared" si="34"/>
        <v>38.095238095238095</v>
      </c>
      <c r="L209" s="60">
        <f t="shared" si="35"/>
        <v>5.7142857142857144</v>
      </c>
      <c r="M209">
        <f t="shared" si="36"/>
        <v>40</v>
      </c>
      <c r="N209">
        <f t="shared" si="37"/>
        <v>43</v>
      </c>
      <c r="O209">
        <f t="shared" si="38"/>
        <v>76</v>
      </c>
      <c r="P209">
        <f t="shared" si="39"/>
        <v>24</v>
      </c>
      <c r="Q209">
        <f t="shared" si="40"/>
        <v>22</v>
      </c>
      <c r="R209">
        <f t="shared" si="41"/>
        <v>35</v>
      </c>
      <c r="S209" s="61">
        <f t="shared" si="42"/>
        <v>40</v>
      </c>
      <c r="T209" s="59" t="str">
        <f>VLOOKUP(A209,Rīcibas_plans!$B$4:$D$234,3,FALSE)</f>
        <v>Pļavniekkalna ielas lietišķais labiekārtojums</v>
      </c>
      <c r="U209" s="59" t="str">
        <f>VLOOKUP(A209,Rīcibas_plans!$B$5:$Q$234,14,FALSE)</f>
        <v>Izvietot lietišķās atpūtas vietas (S/M tips).</v>
      </c>
    </row>
    <row r="210" spans="1:21" ht="28.9">
      <c r="A210" s="58" t="s">
        <v>253</v>
      </c>
      <c r="C210">
        <v>5000</v>
      </c>
      <c r="D210">
        <v>300000</v>
      </c>
      <c r="E210">
        <v>300000</v>
      </c>
      <c r="F210">
        <v>7</v>
      </c>
      <c r="J210" s="61" t="str">
        <f t="shared" si="33"/>
        <v/>
      </c>
      <c r="K210" s="60" t="str">
        <f t="shared" si="34"/>
        <v/>
      </c>
      <c r="L210" s="60" t="str">
        <f t="shared" si="35"/>
        <v/>
      </c>
      <c r="M210">
        <f t="shared" si="36"/>
        <v>26</v>
      </c>
      <c r="N210">
        <f t="shared" si="37"/>
        <v>57</v>
      </c>
      <c r="O210">
        <f t="shared" si="38"/>
        <v>26</v>
      </c>
      <c r="P210" t="e">
        <f t="shared" si="39"/>
        <v>#VALUE!</v>
      </c>
      <c r="Q210" t="e">
        <f t="shared" si="40"/>
        <v>#VALUE!</v>
      </c>
      <c r="R210" t="e">
        <f t="shared" si="41"/>
        <v>#VALUE!</v>
      </c>
      <c r="S210" s="61" t="e">
        <f t="shared" si="42"/>
        <v>#VALUE!</v>
      </c>
      <c r="T210" s="59" t="str">
        <f>VLOOKUP(A210,Rīcibas_plans!$B$4:$D$234,3,FALSE)</f>
        <v>Rāmavas muiža, Rakstnieka G.Merķeļa dzīvesvieta (92), Rāmavas iela 9,</v>
      </c>
      <c r="U210" s="59" t="str">
        <f>VLOOKUP(A210,Rīcibas_plans!$B$5:$Q$234,14,FALSE)</f>
        <v xml:space="preserve">- </v>
      </c>
    </row>
    <row r="211" spans="1:21" ht="28.9">
      <c r="A211" s="58" t="s">
        <v>254</v>
      </c>
      <c r="C211">
        <v>100</v>
      </c>
      <c r="D211">
        <v>1200</v>
      </c>
      <c r="E211">
        <v>180</v>
      </c>
      <c r="F211">
        <v>1</v>
      </c>
      <c r="J211" s="61" t="str">
        <f t="shared" si="33"/>
        <v/>
      </c>
      <c r="K211" s="60" t="str">
        <f t="shared" si="34"/>
        <v/>
      </c>
      <c r="L211" s="60" t="str">
        <f t="shared" si="35"/>
        <v/>
      </c>
      <c r="M211">
        <f t="shared" si="36"/>
        <v>206</v>
      </c>
      <c r="N211">
        <f t="shared" si="37"/>
        <v>220</v>
      </c>
      <c r="O211">
        <f t="shared" si="38"/>
        <v>221</v>
      </c>
      <c r="P211" t="e">
        <f t="shared" si="39"/>
        <v>#VALUE!</v>
      </c>
      <c r="Q211" t="e">
        <f t="shared" si="40"/>
        <v>#VALUE!</v>
      </c>
      <c r="R211" t="e">
        <f t="shared" si="41"/>
        <v>#VALUE!</v>
      </c>
      <c r="S211" s="61" t="e">
        <f t="shared" si="42"/>
        <v>#VALUE!</v>
      </c>
      <c r="T211" s="59" t="str">
        <f>VLOOKUP(A211,Rīcibas_plans!$B$4:$D$234,3,FALSE)</f>
        <v>Pļavniekkalna skolas senkapi pretī zemesgabalam Pļavniekkalnu ielā 20</v>
      </c>
      <c r="U211" s="59" t="str">
        <f>VLOOKUP(A211,Rīcibas_plans!$B$5:$Q$234,14,FALSE)</f>
        <v>Norāde</v>
      </c>
    </row>
    <row r="212" spans="1:21" ht="28.9">
      <c r="A212" s="58" t="s">
        <v>255</v>
      </c>
      <c r="B212">
        <v>180</v>
      </c>
      <c r="C212">
        <v>5000</v>
      </c>
      <c r="D212">
        <v>600000</v>
      </c>
      <c r="E212">
        <v>600000</v>
      </c>
      <c r="F212">
        <v>1</v>
      </c>
      <c r="J212" s="61">
        <f t="shared" si="33"/>
        <v>27.777777777777779</v>
      </c>
      <c r="K212" s="60">
        <f t="shared" si="34"/>
        <v>3333.3333333333335</v>
      </c>
      <c r="L212" s="60">
        <f t="shared" si="35"/>
        <v>3333.3333333333335</v>
      </c>
      <c r="M212">
        <f t="shared" si="36"/>
        <v>26</v>
      </c>
      <c r="N212">
        <f t="shared" si="37"/>
        <v>27</v>
      </c>
      <c r="O212">
        <f t="shared" si="38"/>
        <v>6</v>
      </c>
      <c r="P212">
        <f t="shared" si="39"/>
        <v>2</v>
      </c>
      <c r="Q212">
        <f t="shared" si="40"/>
        <v>3</v>
      </c>
      <c r="R212">
        <f t="shared" si="41"/>
        <v>1</v>
      </c>
      <c r="S212" s="61">
        <f t="shared" si="42"/>
        <v>10.833333333333334</v>
      </c>
      <c r="T212" s="59" t="str">
        <f>VLOOKUP(A212,Rīcibas_plans!$B$4:$D$234,3,FALSE)</f>
        <v> ``Rāmaviņa``, Sporta un bērnu rotaļu laukums, ``Rāmaviņa``, Rāmava</v>
      </c>
      <c r="U212" s="59" t="str">
        <f>VLOOKUP(A212,Rīcibas_plans!$B$5:$Q$234,14,FALSE)</f>
        <v>Norādes uz rekreācijas teritoriju</v>
      </c>
    </row>
    <row r="213" spans="1:21" ht="28.9">
      <c r="A213" s="58" t="s">
        <v>256</v>
      </c>
      <c r="B213">
        <v>25200</v>
      </c>
      <c r="C213">
        <v>3000</v>
      </c>
      <c r="D213">
        <v>360000</v>
      </c>
      <c r="E213">
        <v>54000</v>
      </c>
      <c r="F213">
        <v>1</v>
      </c>
      <c r="J213" s="61">
        <f t="shared" si="33"/>
        <v>0.11904761904761904</v>
      </c>
      <c r="K213" s="60">
        <f t="shared" si="34"/>
        <v>14.285714285714286</v>
      </c>
      <c r="L213" s="60">
        <f t="shared" si="35"/>
        <v>2.1428571428571428</v>
      </c>
      <c r="M213">
        <f t="shared" si="36"/>
        <v>40</v>
      </c>
      <c r="N213">
        <f t="shared" si="37"/>
        <v>43</v>
      </c>
      <c r="O213">
        <f t="shared" si="38"/>
        <v>76</v>
      </c>
      <c r="P213">
        <f t="shared" si="39"/>
        <v>45</v>
      </c>
      <c r="Q213">
        <f t="shared" si="40"/>
        <v>45</v>
      </c>
      <c r="R213">
        <f t="shared" si="41"/>
        <v>63</v>
      </c>
      <c r="S213" s="61">
        <f t="shared" si="42"/>
        <v>52</v>
      </c>
      <c r="T213" s="59" t="str">
        <f>VLOOKUP(A213,Rīcibas_plans!$B$4:$D$234,3,FALSE)</f>
        <v>Rāmavas ielas lietišķais labiekārtojums</v>
      </c>
      <c r="U213" s="59" t="str">
        <f>VLOOKUP(A213,Rīcibas_plans!$B$5:$Q$234,14,FALSE)</f>
        <v>Izvietot lietišķās atpūtas vietas (S/M tips)</v>
      </c>
    </row>
    <row r="214" spans="1:21" ht="72">
      <c r="A214" s="58" t="s">
        <v>257</v>
      </c>
      <c r="B214">
        <v>500000</v>
      </c>
      <c r="C214">
        <v>1000</v>
      </c>
      <c r="D214">
        <v>60000</v>
      </c>
      <c r="E214">
        <v>30000</v>
      </c>
      <c r="F214">
        <v>7</v>
      </c>
      <c r="J214" s="61">
        <f t="shared" si="33"/>
        <v>2E-3</v>
      </c>
      <c r="K214" s="60">
        <f t="shared" si="34"/>
        <v>0.12</v>
      </c>
      <c r="L214" s="60">
        <f t="shared" si="35"/>
        <v>0.06</v>
      </c>
      <c r="M214">
        <f t="shared" si="36"/>
        <v>93</v>
      </c>
      <c r="N214">
        <f t="shared" si="37"/>
        <v>134</v>
      </c>
      <c r="O214">
        <f t="shared" si="38"/>
        <v>107</v>
      </c>
      <c r="P214">
        <f t="shared" si="39"/>
        <v>169</v>
      </c>
      <c r="Q214">
        <f t="shared" si="40"/>
        <v>172</v>
      </c>
      <c r="R214">
        <f t="shared" si="41"/>
        <v>173</v>
      </c>
      <c r="S214" s="61">
        <f t="shared" si="42"/>
        <v>141.33333333333334</v>
      </c>
      <c r="T214" s="59" t="str">
        <f>VLOOKUP(A214,Rīcibas_plans!$B$4:$D$234,3,FALSE)</f>
        <v>Ķekavas pašvaldības īpašums "Rudzāji", Rāmava</v>
      </c>
      <c r="U214" s="59" t="str">
        <f>VLOOKUP(A214,Rīcibas_plans!$B$5:$Q$234,14,FALSE)</f>
        <v>Gājēju ceļu izbūve, pieejamības uzlabošana.Savienojumi ar citām rekreācijas teritorijām</v>
      </c>
    </row>
    <row r="215" spans="1:21" ht="57.6">
      <c r="A215" s="58" t="s">
        <v>258</v>
      </c>
      <c r="B215">
        <v>14320</v>
      </c>
      <c r="C215">
        <v>3000</v>
      </c>
      <c r="D215">
        <v>720000</v>
      </c>
      <c r="E215">
        <v>108000</v>
      </c>
      <c r="F215">
        <v>1</v>
      </c>
      <c r="J215" s="61">
        <f t="shared" si="33"/>
        <v>0.20949720670391062</v>
      </c>
      <c r="K215" s="60">
        <f t="shared" si="34"/>
        <v>50.279329608938546</v>
      </c>
      <c r="L215" s="60">
        <f t="shared" si="35"/>
        <v>7.5418994413407825</v>
      </c>
      <c r="M215">
        <f t="shared" si="36"/>
        <v>40</v>
      </c>
      <c r="N215">
        <f t="shared" si="37"/>
        <v>20</v>
      </c>
      <c r="O215">
        <f t="shared" si="38"/>
        <v>46</v>
      </c>
      <c r="P215">
        <f t="shared" si="39"/>
        <v>31</v>
      </c>
      <c r="Q215">
        <f t="shared" si="40"/>
        <v>18</v>
      </c>
      <c r="R215">
        <f t="shared" si="41"/>
        <v>27</v>
      </c>
      <c r="S215" s="61">
        <f t="shared" si="42"/>
        <v>30.333333333333332</v>
      </c>
      <c r="T215" s="59" t="str">
        <f>VLOOKUP(A215,Rīcibas_plans!$B$4:$D$234,3,FALSE)</f>
        <v>Sabiedriskā transporta pietura "Rāmava" pie Rāmavas ielas un autoceļa V2 (Valdlauči - Rāmava) krustojuma</v>
      </c>
      <c r="U215" s="59" t="str">
        <f>VLOOKUP(A215,Rīcibas_plans!$B$5:$Q$234,14,FALSE)</f>
        <v>Veikt pieturas pārbūvi, veidojot kā L tipa sabiedriskā transporta pieturu.</v>
      </c>
    </row>
    <row r="216" spans="1:21" ht="57.6">
      <c r="A216" s="58" t="s">
        <v>259</v>
      </c>
      <c r="B216">
        <v>1650000</v>
      </c>
      <c r="C216">
        <v>6000</v>
      </c>
      <c r="D216">
        <v>2160000</v>
      </c>
      <c r="E216">
        <v>1620000</v>
      </c>
      <c r="F216">
        <v>1</v>
      </c>
      <c r="J216" s="61">
        <f t="shared" si="33"/>
        <v>3.6363636363636364E-3</v>
      </c>
      <c r="K216" s="60">
        <f t="shared" si="34"/>
        <v>1.3090909090909091</v>
      </c>
      <c r="L216" s="60">
        <f t="shared" si="35"/>
        <v>0.98181818181818181</v>
      </c>
      <c r="M216">
        <f t="shared" si="36"/>
        <v>5</v>
      </c>
      <c r="N216">
        <f t="shared" si="37"/>
        <v>2</v>
      </c>
      <c r="O216">
        <f t="shared" si="38"/>
        <v>1</v>
      </c>
      <c r="P216">
        <f t="shared" si="39"/>
        <v>153</v>
      </c>
      <c r="Q216">
        <f t="shared" si="40"/>
        <v>113</v>
      </c>
      <c r="R216">
        <f t="shared" si="41"/>
        <v>92</v>
      </c>
      <c r="S216" s="61">
        <f t="shared" si="42"/>
        <v>61</v>
      </c>
      <c r="T216" s="59" t="str">
        <f>VLOOKUP(A216,Rīcibas_plans!$B$4:$D$234,3,FALSE)</f>
        <v>V2 valsts ceļa gājēju un velosipēdu infrasturktūra</v>
      </c>
      <c r="U216" s="59" t="str">
        <f>VLOOKUP(A216,Rīcibas_plans!$B$5:$Q$234,14,FALSE)</f>
        <v xml:space="preserve">Apgaismotas ietves izbūve visā  V2 ceļa garumā.  Lietišķās atpūtas vietu izvietošana (S tipa). </v>
      </c>
    </row>
    <row r="217" spans="1:21" ht="57.6">
      <c r="A217" s="58" t="s">
        <v>260</v>
      </c>
      <c r="B217">
        <v>22120</v>
      </c>
      <c r="C217">
        <v>6000</v>
      </c>
      <c r="D217">
        <v>720000</v>
      </c>
      <c r="E217">
        <v>108000</v>
      </c>
      <c r="F217">
        <v>1</v>
      </c>
      <c r="J217" s="61">
        <f t="shared" si="33"/>
        <v>0.27124773960216997</v>
      </c>
      <c r="K217" s="60">
        <f t="shared" si="34"/>
        <v>32.5497287522604</v>
      </c>
      <c r="L217" s="60">
        <f t="shared" si="35"/>
        <v>4.8824593128390594</v>
      </c>
      <c r="M217">
        <f t="shared" si="36"/>
        <v>5</v>
      </c>
      <c r="N217">
        <f t="shared" si="37"/>
        <v>20</v>
      </c>
      <c r="O217">
        <f t="shared" si="38"/>
        <v>46</v>
      </c>
      <c r="P217">
        <f t="shared" si="39"/>
        <v>27</v>
      </c>
      <c r="Q217">
        <f t="shared" si="40"/>
        <v>25</v>
      </c>
      <c r="R217">
        <f t="shared" si="41"/>
        <v>39</v>
      </c>
      <c r="S217" s="61">
        <f t="shared" si="42"/>
        <v>27</v>
      </c>
      <c r="T217" s="59" t="str">
        <f>VLOOKUP(A217,Rīcibas_plans!$B$4:$D$234,3,FALSE)</f>
        <v>V2 valsts ceļa gājēju un velosipēdu infrasturktūra</v>
      </c>
      <c r="U217" s="59" t="str">
        <f>VLOOKUP(A217,Rīcibas_plans!$B$5:$Q$234,14,FALSE)</f>
        <v xml:space="preserve">Apgaismotas ietves izbūve visā  V2 ceļa garumā.  Lietišķās atpūtas vietu izvietošana (S tipa). </v>
      </c>
    </row>
    <row r="218" spans="1:21" ht="57.6">
      <c r="A218" s="58" t="s">
        <v>261</v>
      </c>
      <c r="B218">
        <v>1400000</v>
      </c>
      <c r="C218">
        <v>4000</v>
      </c>
      <c r="D218">
        <v>720000</v>
      </c>
      <c r="E218">
        <v>720000</v>
      </c>
      <c r="F218">
        <v>3</v>
      </c>
      <c r="J218" s="61">
        <f t="shared" si="33"/>
        <v>2.8571428571428571E-3</v>
      </c>
      <c r="K218" s="60">
        <f t="shared" si="34"/>
        <v>0.51428571428571423</v>
      </c>
      <c r="L218" s="60">
        <f t="shared" si="35"/>
        <v>0.51428571428571423</v>
      </c>
      <c r="M218">
        <f t="shared" si="36"/>
        <v>32</v>
      </c>
      <c r="N218">
        <f t="shared" si="37"/>
        <v>20</v>
      </c>
      <c r="O218">
        <f t="shared" si="38"/>
        <v>2</v>
      </c>
      <c r="P218">
        <f t="shared" si="39"/>
        <v>160</v>
      </c>
      <c r="Q218">
        <f t="shared" si="40"/>
        <v>139</v>
      </c>
      <c r="R218">
        <f t="shared" si="41"/>
        <v>107</v>
      </c>
      <c r="S218" s="61">
        <f t="shared" si="42"/>
        <v>76.666666666666671</v>
      </c>
      <c r="T218" s="59" t="str">
        <f>VLOOKUP(A218,Rīcibas_plans!$B$4:$D$234,3,FALSE)</f>
        <v>Valdlauču parks starp Meistaru ielu un autoceļu V1 (Valdlauči - Rāmava)</v>
      </c>
      <c r="U218" s="59" t="str">
        <f>VLOOKUP(A218,Rīcibas_plans!$B$5:$Q$234,14,FALSE)</f>
        <v>Ceļu tīkls un bērnu rotaļu un sporta zonu robežu definēšana - segumi zem rotaļu iekārtām</v>
      </c>
    </row>
    <row r="219" spans="1:21" ht="57.6">
      <c r="A219" s="58" t="s">
        <v>262</v>
      </c>
      <c r="B219">
        <v>180</v>
      </c>
      <c r="C219">
        <v>4000</v>
      </c>
      <c r="D219">
        <v>480000</v>
      </c>
      <c r="E219">
        <v>240000</v>
      </c>
      <c r="F219">
        <v>1</v>
      </c>
      <c r="J219" s="61">
        <f t="shared" si="33"/>
        <v>22.222222222222221</v>
      </c>
      <c r="K219" s="60">
        <f t="shared" si="34"/>
        <v>2666.6666666666665</v>
      </c>
      <c r="L219" s="60">
        <f t="shared" si="35"/>
        <v>1333.3333333333333</v>
      </c>
      <c r="M219">
        <f t="shared" si="36"/>
        <v>32</v>
      </c>
      <c r="N219">
        <f t="shared" si="37"/>
        <v>35</v>
      </c>
      <c r="O219">
        <f t="shared" si="38"/>
        <v>30</v>
      </c>
      <c r="P219">
        <f t="shared" si="39"/>
        <v>3</v>
      </c>
      <c r="Q219">
        <f t="shared" si="40"/>
        <v>4</v>
      </c>
      <c r="R219">
        <f t="shared" si="41"/>
        <v>3</v>
      </c>
      <c r="S219" s="61">
        <f t="shared" si="42"/>
        <v>17.833333333333332</v>
      </c>
      <c r="T219" s="59" t="str">
        <f>VLOOKUP(A219,Rīcibas_plans!$B$4:$D$234,3,FALSE)</f>
        <v>Atpūtas ielas posma pārveide par koplietošanas ielas telpu ar prioritāti gājējiem, tilts pāri Olektes upei</v>
      </c>
      <c r="U219" s="59" t="str">
        <f>VLOOKUP(A219,Rīcibas_plans!$B$5:$Q$234,14,FALSE)</f>
        <v>Norāde uz Olektes upi - savienojuma veidošana ar citām rekreācijas teritorijām</v>
      </c>
    </row>
    <row r="220" spans="1:21" ht="57.6">
      <c r="A220" s="58" t="s">
        <v>263</v>
      </c>
      <c r="B220">
        <v>14320</v>
      </c>
      <c r="C220">
        <v>2000</v>
      </c>
      <c r="D220">
        <v>480000</v>
      </c>
      <c r="E220">
        <v>72000</v>
      </c>
      <c r="F220">
        <v>1</v>
      </c>
      <c r="J220" s="61">
        <f t="shared" si="33"/>
        <v>0.13966480446927373</v>
      </c>
      <c r="K220" s="60">
        <f t="shared" si="34"/>
        <v>33.519553072625698</v>
      </c>
      <c r="L220" s="60">
        <f t="shared" si="35"/>
        <v>5.027932960893855</v>
      </c>
      <c r="M220">
        <f t="shared" si="36"/>
        <v>64</v>
      </c>
      <c r="N220">
        <f t="shared" si="37"/>
        <v>35</v>
      </c>
      <c r="O220">
        <f t="shared" si="38"/>
        <v>65</v>
      </c>
      <c r="P220">
        <f t="shared" si="39"/>
        <v>40</v>
      </c>
      <c r="Q220">
        <f t="shared" si="40"/>
        <v>23</v>
      </c>
      <c r="R220">
        <f t="shared" si="41"/>
        <v>37</v>
      </c>
      <c r="S220" s="61">
        <f t="shared" si="42"/>
        <v>44</v>
      </c>
      <c r="T220" s="59" t="str">
        <f>VLOOKUP(A220,Rīcibas_plans!$B$4:$D$234,3,FALSE)</f>
        <v>Sabiedriskā transporta pietura "Valdlauču centrs" uz Bauskas ielas (autoceļa V1 Valdlauči - Rāmava)</v>
      </c>
      <c r="U220" s="59" t="str">
        <f>VLOOKUP(A220,Rīcibas_plans!$B$5:$Q$234,14,FALSE)</f>
        <v>Veikt pieturas pārbūvi, veidojot kā L tipa sabiedriskā transporta pieturu.</v>
      </c>
    </row>
    <row r="221" spans="1:21" ht="57.6">
      <c r="A221" s="58" t="s">
        <v>264</v>
      </c>
      <c r="B221">
        <v>368500</v>
      </c>
      <c r="C221">
        <v>1000</v>
      </c>
      <c r="D221">
        <v>120000</v>
      </c>
      <c r="E221">
        <v>30000</v>
      </c>
      <c r="F221">
        <v>7</v>
      </c>
      <c r="J221" s="61">
        <f t="shared" si="33"/>
        <v>2.7137042062415195E-3</v>
      </c>
      <c r="K221" s="60">
        <f t="shared" si="34"/>
        <v>0.32564450474898238</v>
      </c>
      <c r="L221" s="60">
        <f t="shared" si="35"/>
        <v>8.1411126187245594E-2</v>
      </c>
      <c r="M221">
        <f t="shared" si="36"/>
        <v>93</v>
      </c>
      <c r="N221">
        <f t="shared" si="37"/>
        <v>95</v>
      </c>
      <c r="O221">
        <f t="shared" si="38"/>
        <v>107</v>
      </c>
      <c r="P221">
        <f t="shared" si="39"/>
        <v>161</v>
      </c>
      <c r="Q221">
        <f t="shared" si="40"/>
        <v>151</v>
      </c>
      <c r="R221">
        <f t="shared" si="41"/>
        <v>165</v>
      </c>
      <c r="S221" s="61">
        <f t="shared" si="42"/>
        <v>128.66666666666666</v>
      </c>
      <c r="T221" s="59" t="str">
        <f>VLOOKUP(A221,Rīcibas_plans!$B$4:$D$234,3,FALSE)</f>
        <v>Mazās Rāmavas ielas gājēju un velosipēdistu infrastruktūra</v>
      </c>
      <c r="U221" s="59" t="str">
        <f>VLOOKUP(A221,Rīcibas_plans!$B$5:$Q$234,14,FALSE)</f>
        <v>Ceļa un  ietves. Gājēju ielas - iespējams) izbūve no  V2 līdz Bauskas ielai. Lietišķās atpūtas vietu izvietošana.</v>
      </c>
    </row>
    <row r="222" spans="1:21" ht="57.6">
      <c r="A222" s="58" t="s">
        <v>265</v>
      </c>
      <c r="B222">
        <v>8295</v>
      </c>
      <c r="C222">
        <v>1000</v>
      </c>
      <c r="D222">
        <v>60000</v>
      </c>
      <c r="E222">
        <v>9000</v>
      </c>
      <c r="F222">
        <v>7</v>
      </c>
      <c r="J222" s="61">
        <f t="shared" si="33"/>
        <v>0.12055455093429777</v>
      </c>
      <c r="K222" s="60">
        <f t="shared" si="34"/>
        <v>7.2332730560578664</v>
      </c>
      <c r="L222" s="60">
        <f t="shared" si="35"/>
        <v>1.0849909584086799</v>
      </c>
      <c r="M222">
        <f t="shared" si="36"/>
        <v>93</v>
      </c>
      <c r="N222">
        <f t="shared" si="37"/>
        <v>134</v>
      </c>
      <c r="O222">
        <f t="shared" si="38"/>
        <v>163</v>
      </c>
      <c r="P222">
        <f t="shared" si="39"/>
        <v>43</v>
      </c>
      <c r="Q222">
        <f t="shared" si="40"/>
        <v>69</v>
      </c>
      <c r="R222">
        <f t="shared" si="41"/>
        <v>89</v>
      </c>
      <c r="S222" s="61">
        <f t="shared" si="42"/>
        <v>98.5</v>
      </c>
      <c r="T222" s="59" t="str">
        <f>VLOOKUP(A222,Rīcibas_plans!$B$4:$D$234,3,FALSE)</f>
        <v>Mazās Rāmavas ielas gājēju un velosipēdistu infrastruktūra</v>
      </c>
      <c r="U222" s="59" t="str">
        <f>VLOOKUP(A222,Rīcibas_plans!$B$5:$Q$234,14,FALSE)</f>
        <v>Ceļa un  ietves. Gājēju ielas - iespējams) izbūve no  V2 līdz Bauskas ielai. Lietišķās atpūtas vietu izvietošana.</v>
      </c>
    </row>
    <row r="223" spans="1:21" ht="72">
      <c r="A223" s="58" t="s">
        <v>266</v>
      </c>
      <c r="B223">
        <v>15000</v>
      </c>
      <c r="C223">
        <v>100</v>
      </c>
      <c r="D223">
        <v>2400</v>
      </c>
      <c r="E223">
        <v>1200</v>
      </c>
      <c r="F223">
        <v>7</v>
      </c>
      <c r="J223" s="61">
        <f t="shared" si="33"/>
        <v>6.6666666666666671E-3</v>
      </c>
      <c r="K223" s="60">
        <f t="shared" si="34"/>
        <v>0.16</v>
      </c>
      <c r="L223" s="60">
        <f t="shared" si="35"/>
        <v>0.08</v>
      </c>
      <c r="M223">
        <f t="shared" si="36"/>
        <v>206</v>
      </c>
      <c r="N223">
        <f t="shared" si="37"/>
        <v>216</v>
      </c>
      <c r="O223">
        <f t="shared" si="38"/>
        <v>211</v>
      </c>
      <c r="P223">
        <f t="shared" si="39"/>
        <v>138</v>
      </c>
      <c r="Q223">
        <f t="shared" si="40"/>
        <v>167</v>
      </c>
      <c r="R223">
        <f t="shared" si="41"/>
        <v>166</v>
      </c>
      <c r="S223" s="61">
        <f t="shared" si="42"/>
        <v>184</v>
      </c>
      <c r="T223" s="59" t="str">
        <f>VLOOKUP(A223,Rīcibas_plans!$B$4:$D$234,3,FALSE)</f>
        <v>Laivu piestātne autoceļa V2 (Valdlauči - Rāmava) galā</v>
      </c>
      <c r="U223" s="59" t="str">
        <f>VLOOKUP(A223,Rīcibas_plans!$B$5:$Q$234,14,FALSE)</f>
        <v>Laivu nolaišanas vietas izbūve kadastra 80700020636 galā. Valsts vietējais autoceļš V2 noslēgumā.</v>
      </c>
    </row>
    <row r="224" spans="1:21" ht="28.9">
      <c r="A224" s="58" t="s">
        <v>267</v>
      </c>
      <c r="C224">
        <v>250</v>
      </c>
      <c r="D224">
        <v>60000</v>
      </c>
      <c r="E224">
        <v>18000</v>
      </c>
      <c r="F224">
        <v>2</v>
      </c>
      <c r="J224" s="61" t="str">
        <f t="shared" si="33"/>
        <v/>
      </c>
      <c r="K224" s="60" t="str">
        <f t="shared" si="34"/>
        <v/>
      </c>
      <c r="L224" s="60" t="str">
        <f t="shared" si="35"/>
        <v/>
      </c>
      <c r="M224">
        <f t="shared" si="36"/>
        <v>184</v>
      </c>
      <c r="N224">
        <f t="shared" si="37"/>
        <v>134</v>
      </c>
      <c r="O224">
        <f t="shared" si="38"/>
        <v>135</v>
      </c>
      <c r="P224" t="e">
        <f t="shared" si="39"/>
        <v>#VALUE!</v>
      </c>
      <c r="Q224" t="e">
        <f t="shared" si="40"/>
        <v>#VALUE!</v>
      </c>
      <c r="R224" t="e">
        <f t="shared" si="41"/>
        <v>#VALUE!</v>
      </c>
      <c r="S224" s="61" t="e">
        <f t="shared" si="42"/>
        <v>#VALUE!</v>
      </c>
      <c r="T224" s="59" t="str">
        <f>VLOOKUP(A224,Rīcibas_plans!$B$4:$D$234,3,FALSE)</f>
        <v>Pļavniekkalna skolas priekšlaukums, Katlakalns, Pļavniekkalna iela 20</v>
      </c>
      <c r="U224" s="59" t="str">
        <f>VLOOKUP(A224,Rīcibas_plans!$B$5:$Q$234,14,FALSE)</f>
        <v xml:space="preserve">- </v>
      </c>
    </row>
    <row r="225" spans="1:21" ht="28.9">
      <c r="A225" s="58" t="s">
        <v>268</v>
      </c>
      <c r="B225">
        <v>15000</v>
      </c>
      <c r="C225">
        <v>100</v>
      </c>
      <c r="D225">
        <v>600</v>
      </c>
      <c r="E225">
        <v>300</v>
      </c>
      <c r="F225">
        <v>7</v>
      </c>
      <c r="J225" s="61">
        <f t="shared" si="33"/>
        <v>6.6666666666666671E-3</v>
      </c>
      <c r="K225" s="60">
        <f t="shared" si="34"/>
        <v>0.04</v>
      </c>
      <c r="L225" s="60">
        <f t="shared" si="35"/>
        <v>0.02</v>
      </c>
      <c r="M225">
        <f t="shared" si="36"/>
        <v>206</v>
      </c>
      <c r="N225">
        <f t="shared" si="37"/>
        <v>225</v>
      </c>
      <c r="O225">
        <f t="shared" si="38"/>
        <v>218</v>
      </c>
      <c r="P225">
        <f t="shared" si="39"/>
        <v>138</v>
      </c>
      <c r="Q225">
        <f t="shared" si="40"/>
        <v>184</v>
      </c>
      <c r="R225">
        <f t="shared" si="41"/>
        <v>182</v>
      </c>
      <c r="S225" s="61">
        <f t="shared" si="42"/>
        <v>192.16666666666666</v>
      </c>
      <c r="T225" s="59" t="str">
        <f>VLOOKUP(A225,Rīcibas_plans!$B$4:$D$234,3,FALSE)</f>
        <v>Laivu nolaišanas vieta Daugavā Ievu ielas galā</v>
      </c>
      <c r="U225" s="59" t="str">
        <f>VLOOKUP(A225,Rīcibas_plans!$B$5:$Q$234,14,FALSE)</f>
        <v>Laivu nolaišanas vieta</v>
      </c>
    </row>
    <row r="226" spans="1:21" ht="28.9">
      <c r="A226" s="58" t="s">
        <v>269</v>
      </c>
      <c r="B226">
        <v>7160</v>
      </c>
      <c r="C226">
        <v>3000</v>
      </c>
      <c r="D226">
        <v>108000</v>
      </c>
      <c r="E226">
        <v>108000</v>
      </c>
      <c r="F226">
        <v>7</v>
      </c>
      <c r="J226" s="61">
        <f t="shared" si="33"/>
        <v>0.41899441340782123</v>
      </c>
      <c r="K226" s="60">
        <f t="shared" si="34"/>
        <v>15.083798882681565</v>
      </c>
      <c r="L226" s="60">
        <f t="shared" si="35"/>
        <v>15.083798882681565</v>
      </c>
      <c r="M226">
        <f t="shared" si="36"/>
        <v>40</v>
      </c>
      <c r="N226">
        <f t="shared" si="37"/>
        <v>112</v>
      </c>
      <c r="O226">
        <f t="shared" si="38"/>
        <v>46</v>
      </c>
      <c r="P226">
        <f t="shared" si="39"/>
        <v>18</v>
      </c>
      <c r="Q226">
        <f t="shared" si="40"/>
        <v>42</v>
      </c>
      <c r="R226">
        <f t="shared" si="41"/>
        <v>15</v>
      </c>
      <c r="S226" s="61">
        <f t="shared" si="42"/>
        <v>45.5</v>
      </c>
      <c r="T226" s="59" t="str">
        <f>VLOOKUP(A226,Rīcibas_plans!$B$4:$D$234,3,FALSE)</f>
        <v>Atpūtas vieta "Nēģīši", Katlakalns, Ievu ielas galā</v>
      </c>
      <c r="U226" s="59" t="str">
        <f>VLOOKUP(A226,Rīcibas_plans!$B$5:$Q$234,14,FALSE)</f>
        <v xml:space="preserve">- </v>
      </c>
    </row>
    <row r="227" spans="1:21" ht="28.9">
      <c r="A227" s="58" t="s">
        <v>270</v>
      </c>
      <c r="B227">
        <v>90</v>
      </c>
      <c r="C227">
        <v>100</v>
      </c>
      <c r="D227">
        <v>1200</v>
      </c>
      <c r="E227">
        <v>180</v>
      </c>
      <c r="F227">
        <v>1</v>
      </c>
      <c r="J227" s="61">
        <f t="shared" si="33"/>
        <v>1.1111111111111112</v>
      </c>
      <c r="K227" s="60">
        <f t="shared" si="34"/>
        <v>13.333333333333334</v>
      </c>
      <c r="L227" s="60">
        <f t="shared" si="35"/>
        <v>2</v>
      </c>
      <c r="M227">
        <f t="shared" si="36"/>
        <v>206</v>
      </c>
      <c r="N227">
        <f t="shared" si="37"/>
        <v>220</v>
      </c>
      <c r="O227">
        <f t="shared" si="38"/>
        <v>221</v>
      </c>
      <c r="P227">
        <f t="shared" si="39"/>
        <v>10</v>
      </c>
      <c r="Q227">
        <f t="shared" si="40"/>
        <v>49</v>
      </c>
      <c r="R227">
        <f t="shared" si="41"/>
        <v>64</v>
      </c>
      <c r="S227" s="61">
        <f t="shared" si="42"/>
        <v>128.33333333333334</v>
      </c>
      <c r="T227" s="59" t="str">
        <f>VLOOKUP(A227,Rīcibas_plans!$B$4:$D$234,3,FALSE)</f>
        <v>Sauliešu pilskalns ar apmetni (2094), Katlakalns, Akmeņsalas iela 1.</v>
      </c>
      <c r="U227" s="59" t="str">
        <f>VLOOKUP(A227,Rīcibas_plans!$B$5:$Q$234,14,FALSE)</f>
        <v>Norāde</v>
      </c>
    </row>
    <row r="228" spans="1:21" ht="28.9">
      <c r="A228" s="58" t="s">
        <v>271</v>
      </c>
      <c r="B228">
        <v>0</v>
      </c>
      <c r="C228">
        <v>6000</v>
      </c>
      <c r="D228">
        <v>576000</v>
      </c>
      <c r="E228">
        <v>144000</v>
      </c>
      <c r="F228">
        <v>7</v>
      </c>
      <c r="J228" s="61" t="str">
        <f t="shared" si="33"/>
        <v/>
      </c>
      <c r="K228" s="60" t="str">
        <f t="shared" si="34"/>
        <v/>
      </c>
      <c r="L228" s="60" t="str">
        <f t="shared" si="35"/>
        <v/>
      </c>
      <c r="M228">
        <f t="shared" si="36"/>
        <v>5</v>
      </c>
      <c r="N228">
        <f t="shared" si="37"/>
        <v>31</v>
      </c>
      <c r="O228">
        <f t="shared" si="38"/>
        <v>35</v>
      </c>
      <c r="P228" t="e">
        <f t="shared" si="39"/>
        <v>#VALUE!</v>
      </c>
      <c r="Q228" t="e">
        <f t="shared" si="40"/>
        <v>#VALUE!</v>
      </c>
      <c r="R228" t="e">
        <f t="shared" si="41"/>
        <v>#VALUE!</v>
      </c>
      <c r="S228" s="61" t="e">
        <f t="shared" si="42"/>
        <v>#VALUE!</v>
      </c>
      <c r="T228" s="59" t="str">
        <f>VLOOKUP(A228,Rīcibas_plans!$B$4:$D$234,3,FALSE)</f>
        <v>Katlakalna tautas nams, Pļavniekkalna iela 35, Katlakalns</v>
      </c>
      <c r="U228" s="59" t="str">
        <f>VLOOKUP(A228,Rīcibas_plans!$B$5:$Q$234,14,FALSE)</f>
        <v xml:space="preserve">- </v>
      </c>
    </row>
    <row r="229" spans="1:21" ht="72">
      <c r="A229" s="58" t="s">
        <v>272</v>
      </c>
      <c r="B229">
        <v>7160</v>
      </c>
      <c r="C229">
        <v>1000</v>
      </c>
      <c r="D229">
        <v>24000</v>
      </c>
      <c r="E229">
        <v>18000</v>
      </c>
      <c r="F229">
        <v>7</v>
      </c>
      <c r="J229" s="61">
        <f t="shared" si="33"/>
        <v>0.13966480446927373</v>
      </c>
      <c r="K229" s="60">
        <f t="shared" si="34"/>
        <v>3.3519553072625698</v>
      </c>
      <c r="L229" s="60">
        <f t="shared" si="35"/>
        <v>2.5139664804469275</v>
      </c>
      <c r="M229">
        <f t="shared" si="36"/>
        <v>93</v>
      </c>
      <c r="N229">
        <f t="shared" si="37"/>
        <v>165</v>
      </c>
      <c r="O229">
        <f t="shared" si="38"/>
        <v>135</v>
      </c>
      <c r="P229">
        <f t="shared" si="39"/>
        <v>40</v>
      </c>
      <c r="Q229">
        <f t="shared" si="40"/>
        <v>89</v>
      </c>
      <c r="R229">
        <f t="shared" si="41"/>
        <v>53</v>
      </c>
      <c r="S229" s="61">
        <f t="shared" si="42"/>
        <v>95.833333333333329</v>
      </c>
      <c r="T229" s="59" t="str">
        <f>VLOOKUP(A229,Rīcibas_plans!$B$4:$D$234,3,FALSE)</f>
        <v>Pieeja pie Daugavas, "Kaļķīši" (Ģipšustūris), Katlakalns</v>
      </c>
      <c r="U229" s="59" t="str">
        <f>VLOOKUP(A229,Rīcibas_plans!$B$5:$Q$234,14,FALSE)</f>
        <v>Teritorijas funkcionālas izmaiņas, gājēju infrastruktūra, norāde, lietišķās atpūtas vietas (S/M tipa) labiekārtojums.</v>
      </c>
    </row>
    <row r="230" spans="1:21" ht="28.9">
      <c r="A230" s="58" t="s">
        <v>273</v>
      </c>
      <c r="B230">
        <v>21480000</v>
      </c>
      <c r="C230">
        <v>3000</v>
      </c>
      <c r="D230">
        <v>144000</v>
      </c>
      <c r="E230">
        <v>144000</v>
      </c>
      <c r="F230">
        <v>7</v>
      </c>
      <c r="J230" s="61">
        <f t="shared" si="33"/>
        <v>1.3966480446927373E-4</v>
      </c>
      <c r="K230" s="60">
        <f t="shared" si="34"/>
        <v>6.7039106145251395E-3</v>
      </c>
      <c r="L230" s="60">
        <f t="shared" si="35"/>
        <v>6.7039106145251395E-3</v>
      </c>
      <c r="M230">
        <f t="shared" si="36"/>
        <v>40</v>
      </c>
      <c r="N230">
        <f t="shared" si="37"/>
        <v>87</v>
      </c>
      <c r="O230">
        <f t="shared" si="38"/>
        <v>35</v>
      </c>
      <c r="P230">
        <f t="shared" si="39"/>
        <v>194</v>
      </c>
      <c r="Q230">
        <f t="shared" si="40"/>
        <v>193</v>
      </c>
      <c r="R230">
        <f t="shared" si="41"/>
        <v>186</v>
      </c>
      <c r="S230" s="61">
        <f t="shared" si="42"/>
        <v>122.5</v>
      </c>
      <c r="T230" s="59" t="str">
        <f>VLOOKUP(A230,Rīcibas_plans!$B$4:$D$234,3,FALSE)</f>
        <v>Vēju ielas atpūtas vieta pie ūdens, “Ziedonis” (pie Vēju ielas), Katlakalns</v>
      </c>
      <c r="U230" s="59" t="str">
        <f>VLOOKUP(A230,Rīcibas_plans!$B$5:$Q$234,14,FALSE)</f>
        <v xml:space="preserve">- </v>
      </c>
    </row>
    <row r="231" spans="1:21">
      <c r="A231" s="58" t="s">
        <v>274</v>
      </c>
      <c r="C231">
        <v>500</v>
      </c>
      <c r="D231">
        <v>24000</v>
      </c>
      <c r="E231">
        <v>7200</v>
      </c>
      <c r="F231">
        <v>7</v>
      </c>
      <c r="J231" s="61" t="str">
        <f t="shared" si="33"/>
        <v/>
      </c>
      <c r="K231" s="60" t="str">
        <f t="shared" si="34"/>
        <v/>
      </c>
      <c r="L231" s="60" t="str">
        <f t="shared" si="35"/>
        <v/>
      </c>
      <c r="M231">
        <f t="shared" si="36"/>
        <v>149</v>
      </c>
      <c r="N231">
        <f t="shared" si="37"/>
        <v>165</v>
      </c>
      <c r="O231">
        <f t="shared" si="38"/>
        <v>172</v>
      </c>
      <c r="P231" t="e">
        <f t="shared" si="39"/>
        <v>#VALUE!</v>
      </c>
      <c r="Q231" t="e">
        <f t="shared" si="40"/>
        <v>#VALUE!</v>
      </c>
      <c r="R231" t="e">
        <f t="shared" si="41"/>
        <v>#VALUE!</v>
      </c>
      <c r="S231" s="61" t="e">
        <f t="shared" si="42"/>
        <v>#VALUE!</v>
      </c>
      <c r="T231" s="59" t="e">
        <f>VLOOKUP(A231,Rīcibas_plans!$B$4:$D$234,3,FALSE)</f>
        <v>#N/A</v>
      </c>
      <c r="U231" s="59" t="e">
        <f>VLOOKUP(A231,Rīcibas_plans!$B$5:$Q$234,14,FALSE)</f>
        <v>#N/A</v>
      </c>
    </row>
    <row r="232" spans="1:21" ht="28.9">
      <c r="A232" s="58" t="s">
        <v>275</v>
      </c>
      <c r="B232">
        <v>500000</v>
      </c>
      <c r="C232">
        <v>400</v>
      </c>
      <c r="D232">
        <v>72000</v>
      </c>
      <c r="E232">
        <v>72000</v>
      </c>
      <c r="F232">
        <v>7</v>
      </c>
      <c r="J232" s="61">
        <f t="shared" si="33"/>
        <v>8.0000000000000004E-4</v>
      </c>
      <c r="K232" s="60">
        <f t="shared" si="34"/>
        <v>0.14399999999999999</v>
      </c>
      <c r="L232" s="60">
        <f t="shared" si="35"/>
        <v>0.14399999999999999</v>
      </c>
      <c r="M232">
        <f t="shared" si="36"/>
        <v>173</v>
      </c>
      <c r="N232">
        <f t="shared" si="37"/>
        <v>130</v>
      </c>
      <c r="O232">
        <f t="shared" si="38"/>
        <v>65</v>
      </c>
      <c r="P232">
        <f t="shared" si="39"/>
        <v>183</v>
      </c>
      <c r="Q232">
        <f t="shared" si="40"/>
        <v>168</v>
      </c>
      <c r="R232">
        <f t="shared" si="41"/>
        <v>146</v>
      </c>
      <c r="S232" s="61">
        <f t="shared" si="42"/>
        <v>144.16666666666666</v>
      </c>
      <c r="T232" s="59" t="str">
        <f>VLOOKUP(A232,Rīcibas_plans!$B$4:$D$234,3,FALSE)</f>
        <v xml:space="preserve">Sausās Daugavas dabas parks </v>
      </c>
      <c r="U232" s="59" t="str">
        <f>VLOOKUP(A232,Rīcibas_plans!$B$5:$Q$234,14,FALSE)</f>
        <v>Izveidot Daugavā  dabas takas</v>
      </c>
    </row>
    <row r="233" spans="1:21">
      <c r="A233" s="58" t="s">
        <v>276</v>
      </c>
      <c r="B233">
        <v>90</v>
      </c>
      <c r="C233">
        <v>2000</v>
      </c>
      <c r="D233">
        <v>360000</v>
      </c>
      <c r="E233">
        <v>3600</v>
      </c>
      <c r="F233">
        <v>1</v>
      </c>
    </row>
    <row r="234" spans="1:21">
      <c r="A234" s="58" t="s">
        <v>277</v>
      </c>
      <c r="B234">
        <v>55435210</v>
      </c>
      <c r="C234">
        <v>50000</v>
      </c>
      <c r="D234">
        <v>9000000</v>
      </c>
      <c r="E234">
        <v>22196520</v>
      </c>
      <c r="F234">
        <v>3.2043478260869565</v>
      </c>
    </row>
  </sheetData>
  <sheetProtection formatCells="0" formatColumns="0" formatRows="0" insertColumns="0" insertRows="0" insertHyperlinks="0" deleteColumns="0" deleteRows="0" pivotTables="0"/>
  <autoFilter ref="J3:U192" xr:uid="{00000000-0009-0000-0000-000000000000}">
    <sortState xmlns:xlrd2="http://schemas.microsoft.com/office/spreadsheetml/2017/richdata2" ref="J4:U192">
      <sortCondition ref="S3:S192"/>
    </sortState>
  </autoFilter>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W249"/>
  <sheetViews>
    <sheetView tabSelected="1" topLeftCell="A33" zoomScale="55" zoomScaleNormal="55" workbookViewId="0">
      <selection activeCell="Q11" sqref="Q11"/>
    </sheetView>
  </sheetViews>
  <sheetFormatPr defaultColWidth="8.7109375" defaultRowHeight="14.45"/>
  <cols>
    <col min="1" max="1" width="13.42578125" customWidth="1"/>
    <col min="2" max="2" width="18.7109375" customWidth="1"/>
    <col min="3" max="3" width="30.28515625" customWidth="1"/>
    <col min="4" max="4" width="47.28515625" style="261" customWidth="1"/>
    <col min="5" max="5" width="11.28515625" customWidth="1"/>
    <col min="6" max="6" width="11.7109375" customWidth="1"/>
    <col min="7" max="7" width="13.85546875" customWidth="1"/>
    <col min="8" max="8" width="9.85546875" customWidth="1"/>
    <col min="9" max="9" width="17.5703125" customWidth="1"/>
    <col min="10" max="10" width="12.5703125" customWidth="1"/>
    <col min="11" max="11" width="22" style="294" customWidth="1"/>
    <col min="12" max="12" width="16.28515625" customWidth="1"/>
    <col min="13" max="13" width="11.7109375" style="74" customWidth="1"/>
    <col min="14" max="14" width="15.28515625" style="74" customWidth="1"/>
    <col min="15" max="15" width="24" customWidth="1"/>
    <col min="17" max="17" width="19.140625" bestFit="1" customWidth="1"/>
    <col min="18" max="18" width="33.28515625" bestFit="1" customWidth="1"/>
    <col min="19" max="19" width="20.7109375" bestFit="1" customWidth="1"/>
    <col min="21" max="21" width="20.42578125" bestFit="1" customWidth="1"/>
    <col min="22" max="22" width="25.42578125" bestFit="1" customWidth="1"/>
    <col min="23" max="23" width="20.7109375" bestFit="1" customWidth="1"/>
  </cols>
  <sheetData>
    <row r="1" spans="1:23" s="276" customFormat="1" ht="25.5" customHeight="1">
      <c r="A1" s="275" t="s">
        <v>28</v>
      </c>
      <c r="B1" s="331"/>
      <c r="D1" s="277"/>
      <c r="K1" s="290"/>
      <c r="M1" s="278"/>
      <c r="N1" s="278"/>
    </row>
    <row r="2" spans="1:23" ht="52.15" customHeight="1">
      <c r="A2" s="69"/>
      <c r="B2" s="332"/>
      <c r="L2" t="s">
        <v>278</v>
      </c>
      <c r="Q2" s="284" t="s">
        <v>279</v>
      </c>
      <c r="R2" s="284" t="s">
        <v>280</v>
      </c>
      <c r="S2" s="285" t="s">
        <v>281</v>
      </c>
      <c r="U2" s="285" t="s">
        <v>279</v>
      </c>
      <c r="V2" s="284" t="s">
        <v>280</v>
      </c>
      <c r="W2" s="291" t="s">
        <v>281</v>
      </c>
    </row>
    <row r="3" spans="1:23" ht="19.149999999999999" customHeight="1">
      <c r="A3" s="69"/>
      <c r="B3" s="332"/>
      <c r="Q3" s="283" t="s">
        <v>282</v>
      </c>
      <c r="R3" s="280" t="s">
        <v>283</v>
      </c>
      <c r="S3" s="281" t="s">
        <v>284</v>
      </c>
      <c r="U3" s="283" t="s">
        <v>285</v>
      </c>
      <c r="V3" s="279" t="s">
        <v>286</v>
      </c>
      <c r="W3" s="292" t="s">
        <v>287</v>
      </c>
    </row>
    <row r="4" spans="1:23" ht="22.15" customHeight="1">
      <c r="A4" s="69"/>
      <c r="B4" s="332"/>
      <c r="Q4" s="283" t="s">
        <v>288</v>
      </c>
      <c r="R4" s="280" t="s">
        <v>289</v>
      </c>
      <c r="S4" s="281" t="s">
        <v>290</v>
      </c>
      <c r="U4" s="283" t="s">
        <v>291</v>
      </c>
      <c r="V4" s="279" t="s">
        <v>292</v>
      </c>
      <c r="W4" s="292" t="s">
        <v>290</v>
      </c>
    </row>
    <row r="5" spans="1:23" ht="19.149999999999999" customHeight="1">
      <c r="A5" s="69"/>
      <c r="B5" s="332"/>
      <c r="Q5" s="283" t="s">
        <v>293</v>
      </c>
      <c r="R5" s="280" t="s">
        <v>294</v>
      </c>
      <c r="S5" s="281" t="s">
        <v>295</v>
      </c>
      <c r="U5" s="283" t="s">
        <v>296</v>
      </c>
      <c r="V5" s="279" t="s">
        <v>297</v>
      </c>
      <c r="W5" s="292" t="s">
        <v>298</v>
      </c>
    </row>
    <row r="6" spans="1:23" ht="27" customHeight="1">
      <c r="A6" s="69"/>
      <c r="B6" s="332"/>
      <c r="Q6" s="283" t="s">
        <v>299</v>
      </c>
      <c r="R6" s="280" t="s">
        <v>300</v>
      </c>
      <c r="S6" s="281" t="s">
        <v>301</v>
      </c>
      <c r="U6" s="283" t="s">
        <v>302</v>
      </c>
      <c r="V6" s="279" t="s">
        <v>303</v>
      </c>
      <c r="W6" s="292" t="s">
        <v>290</v>
      </c>
    </row>
    <row r="7" spans="1:23" ht="16.149999999999999" customHeight="1">
      <c r="A7" s="69"/>
      <c r="B7" s="332"/>
      <c r="Q7" s="283" t="s">
        <v>304</v>
      </c>
      <c r="R7" s="282" t="s">
        <v>305</v>
      </c>
      <c r="S7" s="281" t="s">
        <v>290</v>
      </c>
      <c r="U7" s="283" t="s">
        <v>306</v>
      </c>
      <c r="V7" s="279" t="s">
        <v>307</v>
      </c>
      <c r="W7" s="292" t="s">
        <v>295</v>
      </c>
    </row>
    <row r="8" spans="1:23" ht="16.149999999999999" customHeight="1">
      <c r="A8" s="69"/>
      <c r="B8" s="332"/>
      <c r="Q8" s="283" t="s">
        <v>308</v>
      </c>
      <c r="R8" s="280" t="s">
        <v>309</v>
      </c>
      <c r="S8" s="281" t="s">
        <v>310</v>
      </c>
      <c r="U8" s="283" t="s">
        <v>311</v>
      </c>
      <c r="V8" s="279" t="s">
        <v>312</v>
      </c>
      <c r="W8" s="292" t="s">
        <v>313</v>
      </c>
    </row>
    <row r="9" spans="1:23">
      <c r="E9">
        <v>13</v>
      </c>
      <c r="F9">
        <v>14</v>
      </c>
      <c r="G9">
        <v>15</v>
      </c>
      <c r="H9">
        <v>16</v>
      </c>
      <c r="I9">
        <v>17</v>
      </c>
      <c r="J9">
        <v>18</v>
      </c>
      <c r="K9" s="61"/>
    </row>
    <row r="10" spans="1:23">
      <c r="K10" s="61"/>
      <c r="L10" s="353"/>
    </row>
    <row r="11" spans="1:23" s="111" customFormat="1" ht="61.15" customHeight="1">
      <c r="A11" s="324" t="s">
        <v>314</v>
      </c>
      <c r="B11" s="333" t="s">
        <v>315</v>
      </c>
      <c r="C11" s="325" t="s">
        <v>45</v>
      </c>
      <c r="D11" s="326" t="s">
        <v>46</v>
      </c>
      <c r="E11" s="327" t="s">
        <v>38</v>
      </c>
      <c r="F11" s="327" t="s">
        <v>39</v>
      </c>
      <c r="G11" s="327" t="s">
        <v>40</v>
      </c>
      <c r="H11" s="327" t="s">
        <v>316</v>
      </c>
      <c r="I11" s="327" t="s">
        <v>317</v>
      </c>
      <c r="J11" s="327" t="s">
        <v>318</v>
      </c>
      <c r="K11" s="328" t="s">
        <v>44</v>
      </c>
      <c r="L11" s="354" t="s">
        <v>319</v>
      </c>
      <c r="M11" s="329" t="s">
        <v>320</v>
      </c>
      <c r="N11" s="329" t="s">
        <v>321</v>
      </c>
      <c r="O11" s="330" t="s">
        <v>322</v>
      </c>
    </row>
    <row r="12" spans="1:23" ht="71.25" customHeight="1">
      <c r="A12" s="262" t="s">
        <v>75</v>
      </c>
      <c r="B12" s="271" t="s">
        <v>323</v>
      </c>
      <c r="C12" s="264" t="str">
        <f>VLOOKUP(Table4[[#This Row],[Rīcības kods]],Rīcibas_plans!$B$4:$D$234,3,FALSE)</f>
        <v>Tirdzniecības centra priekšlaukums. Rīgas iela 14, Baloži,</v>
      </c>
      <c r="D12" s="265" t="str">
        <f>VLOOKUP($A12,'Pivot rīcības un objekti'!$A$4:$U$193,21,FALSE)</f>
        <v xml:space="preserve">Lietišķās atpūtas labiekārtojuma elementu atjaunošana. </v>
      </c>
      <c r="E12" s="265">
        <f>VLOOKUP($A12,'Pivot rīcības un objekti'!$A$4:$U$193,E$9,FALSE)</f>
        <v>5</v>
      </c>
      <c r="F12" s="265">
        <f>VLOOKUP($A12,'Pivot rīcības un objekti'!$A$4:$U$193,F$9,FALSE)</f>
        <v>2</v>
      </c>
      <c r="G12" s="265">
        <f>VLOOKUP($A12,'Pivot rīcības un objekti'!$A$4:$U$193,G$9,FALSE)</f>
        <v>8</v>
      </c>
      <c r="H12" s="265">
        <f>VLOOKUP($A12,'Pivot rīcības un objekti'!$A$4:$U$193,H$9,FALSE)</f>
        <v>13</v>
      </c>
      <c r="I12" s="265">
        <f>VLOOKUP($A12,'Pivot rīcības un objekti'!$A$4:$U$192,I$9,FALSE)</f>
        <v>9</v>
      </c>
      <c r="J12" s="265">
        <f>VLOOKUP($A12,'Pivot rīcības un objekti'!$A$4:$U$192,J$9,FALSE)</f>
        <v>8</v>
      </c>
      <c r="K12" s="293">
        <f>VLOOKUP(Table4[[#This Row],[Rīcības kods]],'Pivot rīcības un objekti'!$A$4:$T$233,19,FALSE)</f>
        <v>7.5</v>
      </c>
      <c r="L12" s="265">
        <f>VLOOKUP(Table4[[#This Row],[Rīcības kods]],'Pivot rīcības un objekti'!$A$4:$F$232,6,FALSE)</f>
        <v>1</v>
      </c>
      <c r="M12" s="265">
        <f>VLOOKUP(Table4[[#This Row],[Rīcības kods]],'Pivot rīcības un objekti'!$A$4:$F$232,2,FALSE)</f>
        <v>7160</v>
      </c>
      <c r="N12" s="266">
        <f>Table4[[#This Row],[Izmaksas, EUR]]</f>
        <v>7160</v>
      </c>
      <c r="O12" s="268"/>
      <c r="R12" s="344"/>
      <c r="U12" s="344"/>
      <c r="W12" s="61"/>
    </row>
    <row r="13" spans="1:23" ht="42">
      <c r="A13" s="262" t="s">
        <v>200</v>
      </c>
      <c r="B13" s="271" t="s">
        <v>324</v>
      </c>
      <c r="C13" s="264" t="str">
        <f>VLOOKUP(Table4[[#This Row],[Rīcības kods]],Rīcibas_plans!$B$4:$D$234,3,FALSE)</f>
        <v>Sabiedriskā transporta galapietura "Ķekavas pilsēta" pie Gaismas ielas 21</v>
      </c>
      <c r="D13" s="265" t="str">
        <f>VLOOKUP($A13,'Pivot rīcības un objekti'!$A$4:$U$193,21,FALSE)</f>
        <v>Veikt pieturas pārbūvi, veidojot kā L tipa sabiedriskā transporta pieturu.</v>
      </c>
      <c r="E13" s="265">
        <f>VLOOKUP($A13,'Pivot rīcības un objekti'!$A$4:$U$193,E$9,FALSE)</f>
        <v>5</v>
      </c>
      <c r="F13" s="265">
        <f>VLOOKUP($A13,'Pivot rīcības un objekti'!$A$4:$U$193,F$9,FALSE)</f>
        <v>9</v>
      </c>
      <c r="G13" s="265">
        <f>VLOOKUP($A13,'Pivot rīcības un objekti'!$A$4:$U$193,G$9,FALSE)</f>
        <v>2</v>
      </c>
      <c r="H13" s="265">
        <f>VLOOKUP($A13,'Pivot rīcības un objekti'!$A$4:$U$193,H$9,FALSE)</f>
        <v>13</v>
      </c>
      <c r="I13" s="265">
        <f>VLOOKUP($A13,'Pivot rīcības un objekti'!$A$4:$U$192,I$9,FALSE)</f>
        <v>12</v>
      </c>
      <c r="J13" s="265">
        <f>VLOOKUP($A13,'Pivot rīcības un objekti'!$A$4:$U$192,J$9,FALSE)</f>
        <v>7</v>
      </c>
      <c r="K13" s="293">
        <f>VLOOKUP(Table4[[#This Row],[Rīcības kods]],'Pivot rīcības un objekti'!$A$4:$T$233,19,FALSE)</f>
        <v>8</v>
      </c>
      <c r="L13" s="265">
        <f>VLOOKUP(Table4[[#This Row],[Rīcības kods]],'Pivot rīcības un objekti'!$A$4:$F$232,6,FALSE)</f>
        <v>1</v>
      </c>
      <c r="M13" s="265">
        <f>VLOOKUP(Table4[[#This Row],[Rīcības kods]],'Pivot rīcības un objekti'!$A$4:$F$232,2,FALSE)</f>
        <v>7160</v>
      </c>
      <c r="N13" s="266">
        <f>Table4[[#This Row],[Izmaksas, EUR]]+N12</f>
        <v>14320</v>
      </c>
      <c r="O13" s="335"/>
      <c r="R13" s="344"/>
      <c r="U13" s="344"/>
      <c r="W13" s="61"/>
    </row>
    <row r="14" spans="1:23" ht="55.9" customHeight="1">
      <c r="A14" s="262" t="s">
        <v>255</v>
      </c>
      <c r="B14" s="271" t="s">
        <v>325</v>
      </c>
      <c r="C14" s="264" t="str">
        <f>VLOOKUP(Table4[[#This Row],[Rīcības kods]],Rīcibas_plans!$B$4:$D$234,3,FALSE)</f>
        <v> ``Rāmaviņa``, Sporta un bērnu rotaļu laukums, ``Rāmaviņa``, Rāmava</v>
      </c>
      <c r="D14" s="265" t="e">
        <f>VLOOKUP($A14,'Pivot rīcības un objekti'!$A$4:$U$193,21,FALSE)</f>
        <v>#N/A</v>
      </c>
      <c r="E14" s="265" t="e">
        <f>VLOOKUP($A14,'Pivot rīcības un objekti'!$A$4:$U$193,E$9,FALSE)</f>
        <v>#N/A</v>
      </c>
      <c r="F14" s="265" t="e">
        <f>VLOOKUP($A14,'Pivot rīcības un objekti'!$A$4:$U$193,F$9,FALSE)</f>
        <v>#N/A</v>
      </c>
      <c r="G14" s="265" t="e">
        <f>VLOOKUP($A14,'Pivot rīcības un objekti'!$A$4:$U$193,G$9,FALSE)</f>
        <v>#N/A</v>
      </c>
      <c r="H14" s="265" t="e">
        <f>VLOOKUP($A14,'Pivot rīcības un objekti'!$A$4:$U$193,H$9,FALSE)</f>
        <v>#N/A</v>
      </c>
      <c r="I14" s="265" t="e">
        <f>VLOOKUP($A14,'Pivot rīcības un objekti'!$A$4:$U$192,I$9,FALSE)</f>
        <v>#N/A</v>
      </c>
      <c r="J14" s="265" t="e">
        <f>VLOOKUP($A14,'Pivot rīcības un objekti'!$A$4:$U$192,J$9,FALSE)</f>
        <v>#N/A</v>
      </c>
      <c r="K14" s="293">
        <f>VLOOKUP(Table4[[#This Row],[Rīcības kods]],'Pivot rīcības un objekti'!$A$4:$T$233,19,FALSE)</f>
        <v>10.833333333333334</v>
      </c>
      <c r="L14" s="265">
        <f>VLOOKUP(Table4[[#This Row],[Rīcības kods]],'Pivot rīcības un objekti'!$A$4:$F$232,6,FALSE)</f>
        <v>1</v>
      </c>
      <c r="M14" s="265">
        <f>VLOOKUP(Table4[[#This Row],[Rīcības kods]],'Pivot rīcības un objekti'!$A$4:$F$232,2,FALSE)</f>
        <v>180</v>
      </c>
      <c r="N14" s="266">
        <f>Table4[[#This Row],[Izmaksas, EUR]]+N13</f>
        <v>14500</v>
      </c>
      <c r="O14" s="267"/>
      <c r="R14" s="344"/>
      <c r="U14" s="344"/>
      <c r="W14" s="61"/>
    </row>
    <row r="15" spans="1:23" ht="28.15">
      <c r="A15" s="262" t="s">
        <v>199</v>
      </c>
      <c r="B15" s="271" t="s">
        <v>324</v>
      </c>
      <c r="C15" s="264" t="str">
        <f>VLOOKUP(Table4[[#This Row],[Rīcības kods]],Rīcibas_plans!$B$4:$D$234,3,FALSE)</f>
        <v>Sabiedriskā transporta pietura "Ķekava" pie autoceļa A7</v>
      </c>
      <c r="D15" s="265" t="str">
        <f>VLOOKUP($A15,'Pivot rīcības un objekti'!$A$4:$U$193,21,FALSE)</f>
        <v>Veikt pieturas pārbūvi, veidojot kā L tipa sabiedriskā transporta pieturu.</v>
      </c>
      <c r="E15" s="265">
        <f>VLOOKUP($A15,'Pivot rīcības un objekti'!$A$4:$U$193,E$9,FALSE)</f>
        <v>5</v>
      </c>
      <c r="F15" s="265">
        <f>VLOOKUP($A15,'Pivot rīcības un objekti'!$A$4:$U$193,F$9,FALSE)</f>
        <v>9</v>
      </c>
      <c r="G15" s="265">
        <f>VLOOKUP($A15,'Pivot rīcības un objekti'!$A$4:$U$193,G$9,FALSE)</f>
        <v>18</v>
      </c>
      <c r="H15" s="265">
        <f>VLOOKUP($A15,'Pivot rīcības un objekti'!$A$4:$U$193,H$9,FALSE)</f>
        <v>18</v>
      </c>
      <c r="I15" s="265">
        <f>VLOOKUP($A15,'Pivot rīcības un objekti'!$A$4:$U$192,I$9,FALSE)</f>
        <v>13</v>
      </c>
      <c r="J15" s="265">
        <f>VLOOKUP($A15,'Pivot rīcības un objekti'!$A$4:$U$192,J$9,FALSE)</f>
        <v>12</v>
      </c>
      <c r="K15" s="293">
        <f>VLOOKUP(Table4[[#This Row],[Rīcības kods]],'Pivot rīcības un objekti'!$A$4:$T$233,19,FALSE)</f>
        <v>12.5</v>
      </c>
      <c r="L15" s="265">
        <f>VLOOKUP(Table4[[#This Row],[Rīcības kods]],'Pivot rīcības un objekti'!$A$4:$F$232,6,FALSE)</f>
        <v>1</v>
      </c>
      <c r="M15" s="265">
        <f>VLOOKUP(Table4[[#This Row],[Rīcības kods]],'Pivot rīcības un objekti'!$A$4:$F$232,2,FALSE)</f>
        <v>14320</v>
      </c>
      <c r="N15" s="266">
        <f>Table4[[#This Row],[Izmaksas, EUR]]+N14</f>
        <v>28820</v>
      </c>
      <c r="O15" s="268"/>
      <c r="R15" s="344"/>
      <c r="U15" s="344"/>
      <c r="W15" s="61"/>
    </row>
    <row r="16" spans="1:23" ht="65.25" customHeight="1">
      <c r="A16" s="262" t="s">
        <v>204</v>
      </c>
      <c r="B16" s="271" t="s">
        <v>324</v>
      </c>
      <c r="C16" s="264" t="str">
        <f>VLOOKUP(Table4[[#This Row],[Rīcības kods]],Rīcibas_plans!$B$4:$D$234,3,FALSE)</f>
        <v>Gaismas ielas lietišķais labiekārtojums</v>
      </c>
      <c r="D16" s="265" t="str">
        <f>VLOOKUP($A16,'Pivot rīcības un objekti'!$A$4:$U$193,21,FALSE)</f>
        <v>Izvietot lietišķās atpūtas vietas (S tips).</v>
      </c>
      <c r="E16" s="265">
        <f>VLOOKUP($A16,'Pivot rīcības un objekti'!$A$4:$U$193,E$9,FALSE)</f>
        <v>5</v>
      </c>
      <c r="F16" s="265">
        <f>VLOOKUP($A16,'Pivot rīcības un objekti'!$A$4:$U$193,F$9,FALSE)</f>
        <v>9</v>
      </c>
      <c r="G16" s="265">
        <f>VLOOKUP($A16,'Pivot rīcības un objekti'!$A$4:$U$193,G$9,FALSE)</f>
        <v>31</v>
      </c>
      <c r="H16" s="265">
        <f>VLOOKUP($A16,'Pivot rīcības un objekti'!$A$4:$U$193,H$9,FALSE)</f>
        <v>12</v>
      </c>
      <c r="I16" s="265">
        <f>VLOOKUP($A16,'Pivot rīcības un objekti'!$A$4:$U$192,I$9,FALSE)</f>
        <v>10</v>
      </c>
      <c r="J16" s="265">
        <f>VLOOKUP($A16,'Pivot rīcības un objekti'!$A$4:$U$192,J$9,FALSE)</f>
        <v>9</v>
      </c>
      <c r="K16" s="293">
        <f>VLOOKUP(Table4[[#This Row],[Rīcības kods]],'Pivot rīcības un objekti'!$A$4:$T$233,19,FALSE)</f>
        <v>12.666666666666666</v>
      </c>
      <c r="L16" s="265">
        <f>VLOOKUP(Table4[[#This Row],[Rīcības kods]],'Pivot rīcības un objekti'!$A$4:$F$232,6,FALSE)</f>
        <v>1</v>
      </c>
      <c r="M16" s="265">
        <f>VLOOKUP(Table4[[#This Row],[Rīcības kods]],'Pivot rīcības un objekti'!$A$4:$F$232,2,FALSE)</f>
        <v>5530</v>
      </c>
      <c r="N16" s="266">
        <f>Table4[[#This Row],[Izmaksas, EUR]]+N15</f>
        <v>34350</v>
      </c>
      <c r="O16" s="267"/>
      <c r="R16" s="344"/>
      <c r="U16" s="344"/>
      <c r="W16" s="61"/>
    </row>
    <row r="17" spans="1:23" ht="28.15">
      <c r="A17" s="262" t="s">
        <v>196</v>
      </c>
      <c r="B17" s="271" t="s">
        <v>324</v>
      </c>
      <c r="C17" s="264" t="str">
        <f>VLOOKUP(Table4[[#This Row],[Rīcības kods]],Rīcibas_plans!$B$4:$D$234,3,FALSE)</f>
        <v>Nākotnes ielas lietišķais labiekārtojums</v>
      </c>
      <c r="D17" s="265" t="str">
        <f>VLOOKUP($A17,'Pivot rīcības un objekti'!$A$4:$U$193,21,FALSE)</f>
        <v>Izvietot lietišķās atpūtas vietas (S/M tips) Nākotnes ielas garumā līdz Jaunie Ķekavas kapi (80700110113).</v>
      </c>
      <c r="E17" s="265">
        <f>VLOOKUP($A17,'Pivot rīcības un objekti'!$A$4:$U$193,E$9,FALSE)</f>
        <v>5</v>
      </c>
      <c r="F17" s="265">
        <f>VLOOKUP($A17,'Pivot rīcības un objekti'!$A$4:$U$193,F$9,FALSE)</f>
        <v>2</v>
      </c>
      <c r="G17" s="265">
        <f>VLOOKUP($A17,'Pivot rīcības un objekti'!$A$4:$U$193,G$9,FALSE)</f>
        <v>25</v>
      </c>
      <c r="H17" s="265">
        <f>VLOOKUP($A17,'Pivot rīcības un objekti'!$A$4:$U$193,H$9,FALSE)</f>
        <v>27</v>
      </c>
      <c r="I17" s="265">
        <f>VLOOKUP($A17,'Pivot rīcības un objekti'!$A$4:$U$192,I$9,FALSE)</f>
        <v>14</v>
      </c>
      <c r="J17" s="265">
        <f>VLOOKUP($A17,'Pivot rīcības un objekti'!$A$4:$U$192,J$9,FALSE)</f>
        <v>16</v>
      </c>
      <c r="K17" s="293">
        <f>VLOOKUP(Table4[[#This Row],[Rīcības kods]],'Pivot rīcības un objekti'!$A$4:$T$233,19,FALSE)</f>
        <v>14.833333333333334</v>
      </c>
      <c r="L17" s="265">
        <f>VLOOKUP(Table4[[#This Row],[Rīcības kods]],'Pivot rīcības un objekti'!$A$4:$F$232,6,FALSE)</f>
        <v>1</v>
      </c>
      <c r="M17" s="265">
        <f>VLOOKUP(Table4[[#This Row],[Rīcības kods]],'Pivot rīcības un objekti'!$A$4:$F$232,2,FALSE)</f>
        <v>22120</v>
      </c>
      <c r="N17" s="266">
        <f>Table4[[#This Row],[Izmaksas, EUR]]+N16</f>
        <v>56470</v>
      </c>
      <c r="O17" s="268"/>
      <c r="R17" s="344"/>
      <c r="U17" s="344"/>
      <c r="W17" s="61"/>
    </row>
    <row r="18" spans="1:23" ht="42">
      <c r="A18" s="262" t="s">
        <v>180</v>
      </c>
      <c r="B18" s="271" t="s">
        <v>326</v>
      </c>
      <c r="C18" s="264" t="str">
        <f>VLOOKUP(Table4[[#This Row],[Rīcības kods]],Rīcibas_plans!$B$4:$D$234,3,FALSE)</f>
        <v>Odukalns ūdenstornis, ``Odiņš``, Odukalns, Ķekavas pag., Ķekavas nov.,</v>
      </c>
      <c r="D18" s="265" t="str">
        <f>VLOOKUP($A18,'Pivot rīcības un objekti'!$A$4:$U$193,21,FALSE)</f>
        <v>Ūdens torņa vizuālā stāvokļa uzturēšana/uzlabošana. Pasīvās atpūtas vietas labiekārtošana.</v>
      </c>
      <c r="E18" s="265">
        <f>VLOOKUP($A18,'Pivot rīcības un objekti'!$A$4:$U$193,E$9,FALSE)</f>
        <v>1</v>
      </c>
      <c r="F18" s="265">
        <f>VLOOKUP($A18,'Pivot rīcības un objekti'!$A$4:$U$193,F$9,FALSE)</f>
        <v>1</v>
      </c>
      <c r="G18" s="265">
        <f>VLOOKUP($A18,'Pivot rīcības un objekti'!$A$4:$U$193,G$9,FALSE)</f>
        <v>56</v>
      </c>
      <c r="H18" s="265">
        <f>VLOOKUP($A18,'Pivot rīcības un objekti'!$A$4:$U$193,H$9,FALSE)</f>
        <v>7</v>
      </c>
      <c r="I18" s="265">
        <f>VLOOKUP($A18,'Pivot rīcības un objekti'!$A$4:$U$192,I$9,FALSE)</f>
        <v>6</v>
      </c>
      <c r="J18" s="265">
        <f>VLOOKUP($A18,'Pivot rīcības un objekti'!$A$4:$U$192,J$9,FALSE)</f>
        <v>22</v>
      </c>
      <c r="K18" s="293">
        <f>VLOOKUP(Table4[[#This Row],[Rīcības kods]],'Pivot rīcības un objekti'!$A$4:$T$233,19,FALSE)</f>
        <v>15.5</v>
      </c>
      <c r="L18" s="265">
        <f>VLOOKUP(Table4[[#This Row],[Rīcības kods]],'Pivot rīcības un objekti'!$A$4:$F$232,6,FALSE)</f>
        <v>1</v>
      </c>
      <c r="M18" s="265">
        <f>VLOOKUP(Table4[[#This Row],[Rīcības kods]],'Pivot rīcības un objekti'!$A$4:$F$232,2,FALSE)</f>
        <v>10000</v>
      </c>
      <c r="N18" s="266">
        <f>Table4[[#This Row],[Izmaksas, EUR]]+N17</f>
        <v>66470</v>
      </c>
      <c r="O18" s="267"/>
      <c r="R18" s="344"/>
      <c r="U18" s="344"/>
      <c r="W18" s="61"/>
    </row>
    <row r="19" spans="1:23" ht="42">
      <c r="A19" s="262" t="s">
        <v>262</v>
      </c>
      <c r="B19" s="271" t="s">
        <v>327</v>
      </c>
      <c r="C19" s="264" t="str">
        <f>VLOOKUP(Table4[[#This Row],[Rīcības kods]],Rīcibas_plans!$B$4:$D$234,3,FALSE)</f>
        <v>Atpūtas ielas posma pārveide par koplietošanas ielas telpu ar prioritāti gājējiem, tilts pāri Olektes upei</v>
      </c>
      <c r="D19" s="265" t="e">
        <f>VLOOKUP($A19,'Pivot rīcības un objekti'!$A$4:$U$193,21,FALSE)</f>
        <v>#N/A</v>
      </c>
      <c r="E19" s="265" t="e">
        <f>VLOOKUP($A19,'Pivot rīcības un objekti'!$A$4:$U$193,E$9,FALSE)</f>
        <v>#N/A</v>
      </c>
      <c r="F19" s="265" t="e">
        <f>VLOOKUP($A19,'Pivot rīcības un objekti'!$A$4:$U$193,F$9,FALSE)</f>
        <v>#N/A</v>
      </c>
      <c r="G19" s="265" t="e">
        <f>VLOOKUP($A19,'Pivot rīcības un objekti'!$A$4:$U$193,G$9,FALSE)</f>
        <v>#N/A</v>
      </c>
      <c r="H19" s="265" t="e">
        <f>VLOOKUP($A19,'Pivot rīcības un objekti'!$A$4:$U$193,H$9,FALSE)</f>
        <v>#N/A</v>
      </c>
      <c r="I19" s="265" t="e">
        <f>VLOOKUP($A19,'Pivot rīcības un objekti'!$A$4:$U$192,I$9,FALSE)</f>
        <v>#N/A</v>
      </c>
      <c r="J19" s="265" t="e">
        <f>VLOOKUP($A19,'Pivot rīcības un objekti'!$A$4:$U$192,J$9,FALSE)</f>
        <v>#N/A</v>
      </c>
      <c r="K19" s="293">
        <f>VLOOKUP(Table4[[#This Row],[Rīcības kods]],'Pivot rīcības un objekti'!$A$4:$T$233,19,FALSE)</f>
        <v>17.833333333333332</v>
      </c>
      <c r="L19" s="265">
        <f>VLOOKUP(Table4[[#This Row],[Rīcības kods]],'Pivot rīcības un objekti'!$A$4:$F$232,6,FALSE)</f>
        <v>1</v>
      </c>
      <c r="M19" s="265">
        <f>VLOOKUP(Table4[[#This Row],[Rīcības kods]],'Pivot rīcības un objekti'!$A$4:$F$232,2,FALSE)</f>
        <v>180</v>
      </c>
      <c r="N19" s="266">
        <f>Table4[[#This Row],[Izmaksas, EUR]]+N18</f>
        <v>66650</v>
      </c>
      <c r="O19" s="268"/>
      <c r="R19" s="344"/>
      <c r="U19" s="344"/>
      <c r="W19" s="61"/>
    </row>
    <row r="20" spans="1:23" ht="28.15">
      <c r="A20" s="262" t="s">
        <v>260</v>
      </c>
      <c r="B20" s="271" t="s">
        <v>299</v>
      </c>
      <c r="C20" s="264" t="str">
        <f>VLOOKUP(Table4[[#This Row],[Rīcības kods]],Rīcibas_plans!$B$4:$D$234,3,FALSE)</f>
        <v>V2 valsts ceļa gājēju un velosipēdu infrasturktūra</v>
      </c>
      <c r="D20" s="265" t="e">
        <f>VLOOKUP($A20,'Pivot rīcības un objekti'!$A$4:$U$193,21,FALSE)</f>
        <v>#N/A</v>
      </c>
      <c r="E20" s="265" t="e">
        <f>VLOOKUP($A20,'Pivot rīcības un objekti'!$A$4:$U$193,E$9,FALSE)</f>
        <v>#N/A</v>
      </c>
      <c r="F20" s="265" t="e">
        <f>VLOOKUP($A20,'Pivot rīcības un objekti'!$A$4:$U$193,F$9,FALSE)</f>
        <v>#N/A</v>
      </c>
      <c r="G20" s="265" t="e">
        <f>VLOOKUP($A20,'Pivot rīcības un objekti'!$A$4:$U$193,G$9,FALSE)</f>
        <v>#N/A</v>
      </c>
      <c r="H20" s="265" t="e">
        <f>VLOOKUP($A20,'Pivot rīcības un objekti'!$A$4:$U$193,H$9,FALSE)</f>
        <v>#N/A</v>
      </c>
      <c r="I20" s="265" t="e">
        <f>VLOOKUP($A20,'Pivot rīcības un objekti'!$A$4:$U$192,I$9,FALSE)</f>
        <v>#N/A</v>
      </c>
      <c r="J20" s="265" t="e">
        <f>VLOOKUP($A20,'Pivot rīcības un objekti'!$A$4:$U$192,J$9,FALSE)</f>
        <v>#N/A</v>
      </c>
      <c r="K20" s="293">
        <f>VLOOKUP(Table4[[#This Row],[Rīcības kods]],'Pivot rīcības un objekti'!$A$4:$T$233,19,FALSE)</f>
        <v>27</v>
      </c>
      <c r="L20" s="265">
        <f>VLOOKUP(Table4[[#This Row],[Rīcības kods]],'Pivot rīcības un objekti'!$A$4:$F$232,6,FALSE)</f>
        <v>1</v>
      </c>
      <c r="M20" s="265">
        <f>VLOOKUP(Table4[[#This Row],[Rīcības kods]],'Pivot rīcības un objekti'!$A$4:$F$232,2,FALSE)</f>
        <v>22120</v>
      </c>
      <c r="N20" s="266">
        <f>Table4[[#This Row],[Izmaksas, EUR]]+N19</f>
        <v>88770</v>
      </c>
      <c r="O20" s="268"/>
      <c r="R20" s="344"/>
      <c r="U20" s="344"/>
      <c r="W20" s="61"/>
    </row>
    <row r="21" spans="1:23" ht="28.15">
      <c r="A21" s="262" t="s">
        <v>177</v>
      </c>
      <c r="B21" s="271" t="s">
        <v>324</v>
      </c>
      <c r="C21" s="264" t="str">
        <f>VLOOKUP(Table4[[#This Row],[Rīcības kods]],Rīcibas_plans!$B$4:$D$234,3,FALSE)</f>
        <v>Ķekavas kultūras nama priekšlaukums, Gaismas iela 17</v>
      </c>
      <c r="D21" s="265" t="str">
        <f>VLOOKUP($A21,'Pivot rīcības un objekti'!$A$4:$U$193,21,FALSE)</f>
        <v>Papildināt ar pasīvās atpūtas vietu (M tipa)</v>
      </c>
      <c r="E21" s="265">
        <f>VLOOKUP($A21,'Pivot rīcības un objekti'!$A$4:$U$193,E$9,FALSE)</f>
        <v>31</v>
      </c>
      <c r="F21" s="265">
        <f>VLOOKUP($A21,'Pivot rīcības un objekti'!$A$4:$U$193,F$9,FALSE)</f>
        <v>40</v>
      </c>
      <c r="G21" s="265">
        <f>VLOOKUP($A21,'Pivot rīcības un objekti'!$A$4:$U$193,G$9,FALSE)</f>
        <v>55</v>
      </c>
      <c r="H21" s="265">
        <f>VLOOKUP($A21,'Pivot rīcības un objekti'!$A$4:$U$193,H$9,FALSE)</f>
        <v>15</v>
      </c>
      <c r="I21" s="265">
        <f>VLOOKUP($A21,'Pivot rīcības un objekti'!$A$4:$U$192,I$9,FALSE)</f>
        <v>16</v>
      </c>
      <c r="J21" s="265">
        <f>VLOOKUP($A21,'Pivot rīcības un objekti'!$A$4:$U$192,J$9,FALSE)</f>
        <v>17</v>
      </c>
      <c r="K21" s="293">
        <f>VLOOKUP(Table4[[#This Row],[Rīcības kods]],'Pivot rīcības un objekti'!$A$4:$T$233,19,FALSE)</f>
        <v>29</v>
      </c>
      <c r="L21" s="265">
        <f>VLOOKUP(Table4[[#This Row],[Rīcības kods]],'Pivot rīcības un objekti'!$A$4:$F$232,6,FALSE)</f>
        <v>1</v>
      </c>
      <c r="M21" s="265">
        <f>VLOOKUP(Table4[[#This Row],[Rīcības kods]],'Pivot rīcības un objekti'!$A$4:$F$232,2,FALSE)</f>
        <v>6300</v>
      </c>
      <c r="N21" s="266">
        <f>Table4[[#This Row],[Izmaksas, EUR]]+N20</f>
        <v>95070</v>
      </c>
      <c r="O21" s="268"/>
      <c r="R21" s="344"/>
      <c r="U21" s="344"/>
      <c r="W21" s="61"/>
    </row>
    <row r="22" spans="1:23" ht="55.9">
      <c r="A22" s="262" t="s">
        <v>251</v>
      </c>
      <c r="B22" s="271" t="s">
        <v>328</v>
      </c>
      <c r="C22" s="264" t="str">
        <f>VLOOKUP(Table4[[#This Row],[Rīcības kods]],Rīcibas_plans!$B$4:$D$234,3,FALSE)</f>
        <v>Sabiedriskā trnasporta pietura " Kooperatīvs Ziedonis" pie zemes gabala ``Katlakalna kapi``, Katlakalns,</v>
      </c>
      <c r="D22" s="265" t="e">
        <f>VLOOKUP($A22,'Pivot rīcības un objekti'!$A$4:$U$193,21,FALSE)</f>
        <v>#N/A</v>
      </c>
      <c r="E22" s="265" t="e">
        <f>VLOOKUP($A22,'Pivot rīcības un objekti'!$A$4:$U$193,E$9,FALSE)</f>
        <v>#N/A</v>
      </c>
      <c r="F22" s="265" t="e">
        <f>VLOOKUP($A22,'Pivot rīcības un objekti'!$A$4:$U$193,F$9,FALSE)</f>
        <v>#N/A</v>
      </c>
      <c r="G22" s="265" t="e">
        <f>VLOOKUP($A22,'Pivot rīcības un objekti'!$A$4:$U$193,G$9,FALSE)</f>
        <v>#N/A</v>
      </c>
      <c r="H22" s="265" t="e">
        <f>VLOOKUP($A22,'Pivot rīcības un objekti'!$A$4:$U$193,H$9,FALSE)</f>
        <v>#N/A</v>
      </c>
      <c r="I22" s="265" t="e">
        <f>VLOOKUP($A22,'Pivot rīcības un objekti'!$A$4:$U$192,I$9,FALSE)</f>
        <v>#N/A</v>
      </c>
      <c r="J22" s="265" t="e">
        <f>VLOOKUP($A22,'Pivot rīcības un objekti'!$A$4:$U$192,J$9,FALSE)</f>
        <v>#N/A</v>
      </c>
      <c r="K22" s="293">
        <f>VLOOKUP(Table4[[#This Row],[Rīcības kods]],'Pivot rīcības un objekti'!$A$4:$T$233,19,FALSE)</f>
        <v>30.333333333333332</v>
      </c>
      <c r="L22" s="265">
        <f>VLOOKUP(Table4[[#This Row],[Rīcības kods]],'Pivot rīcības un objekti'!$A$4:$F$232,6,FALSE)</f>
        <v>1</v>
      </c>
      <c r="M22" s="265">
        <f>VLOOKUP(Table4[[#This Row],[Rīcības kods]],'Pivot rīcības un objekti'!$A$4:$F$232,2,FALSE)</f>
        <v>14320</v>
      </c>
      <c r="N22" s="266">
        <f>Table4[[#This Row],[Izmaksas, EUR]]+N21</f>
        <v>109390</v>
      </c>
      <c r="O22" s="296"/>
      <c r="R22" s="344"/>
      <c r="U22" s="344"/>
      <c r="W22" s="61"/>
    </row>
    <row r="23" spans="1:23" ht="55.9">
      <c r="A23" s="262" t="s">
        <v>258</v>
      </c>
      <c r="B23" s="271" t="s">
        <v>325</v>
      </c>
      <c r="C23" s="264" t="str">
        <f>VLOOKUP(Table4[[#This Row],[Rīcības kods]],Rīcibas_plans!$B$4:$D$234,3,FALSE)</f>
        <v>Sabiedriskā transporta pietura "Rāmava" pie Rāmavas ielas un autoceļa V2 (Valdlauči - Rāmava) krustojuma</v>
      </c>
      <c r="D23" s="265" t="e">
        <f>VLOOKUP($A23,'Pivot rīcības un objekti'!$A$4:$U$193,21,FALSE)</f>
        <v>#N/A</v>
      </c>
      <c r="E23" s="265" t="e">
        <f>VLOOKUP($A23,'Pivot rīcības un objekti'!$A$4:$U$193,E$9,FALSE)</f>
        <v>#N/A</v>
      </c>
      <c r="F23" s="265" t="e">
        <f>VLOOKUP($A23,'Pivot rīcības un objekti'!$A$4:$U$193,F$9,FALSE)</f>
        <v>#N/A</v>
      </c>
      <c r="G23" s="265" t="e">
        <f>VLOOKUP($A23,'Pivot rīcības un objekti'!$A$4:$U$193,G$9,FALSE)</f>
        <v>#N/A</v>
      </c>
      <c r="H23" s="265" t="e">
        <f>VLOOKUP($A23,'Pivot rīcības un objekti'!$A$4:$U$193,H$9,FALSE)</f>
        <v>#N/A</v>
      </c>
      <c r="I23" s="265" t="e">
        <f>VLOOKUP($A23,'Pivot rīcības un objekti'!$A$4:$U$192,I$9,FALSE)</f>
        <v>#N/A</v>
      </c>
      <c r="J23" s="265" t="e">
        <f>VLOOKUP($A23,'Pivot rīcības un objekti'!$A$4:$U$192,J$9,FALSE)</f>
        <v>#N/A</v>
      </c>
      <c r="K23" s="293">
        <f>VLOOKUP(Table4[[#This Row],[Rīcības kods]],'Pivot rīcības un objekti'!$A$4:$T$233,19,FALSE)</f>
        <v>30.333333333333332</v>
      </c>
      <c r="L23" s="265">
        <f>VLOOKUP(Table4[[#This Row],[Rīcības kods]],'Pivot rīcības un objekti'!$A$4:$F$232,6,FALSE)</f>
        <v>1</v>
      </c>
      <c r="M23" s="265">
        <f>VLOOKUP(Table4[[#This Row],[Rīcības kods]],'Pivot rīcības un objekti'!$A$4:$F$232,2,FALSE)</f>
        <v>14320</v>
      </c>
      <c r="N23" s="266">
        <f>Table4[[#This Row],[Izmaksas, EUR]]+N22</f>
        <v>123710</v>
      </c>
      <c r="O23" s="267"/>
      <c r="R23" s="344"/>
      <c r="U23" s="344"/>
      <c r="W23" s="61"/>
    </row>
    <row r="24" spans="1:23">
      <c r="A24" s="262" t="s">
        <v>186</v>
      </c>
      <c r="B24" s="271" t="s">
        <v>324</v>
      </c>
      <c r="C24" s="264" t="str">
        <f>VLOOKUP(Table4[[#This Row],[Rīcības kods]],Rīcibas_plans!$B$4:$D$234,3,FALSE)</f>
        <v>Jauno ideju centrs, Skolas iela 2</v>
      </c>
      <c r="D24" s="265" t="str">
        <f>VLOOKUP($A24,'Pivot rīcības un objekti'!$A$4:$U$193,21,FALSE)</f>
        <v xml:space="preserve">Lietišķās atpūtas vietas izveide </v>
      </c>
      <c r="E24" s="265">
        <f>VLOOKUP($A24,'Pivot rīcības un objekti'!$A$4:$U$193,E$9,FALSE)</f>
        <v>32</v>
      </c>
      <c r="F24" s="265">
        <f>VLOOKUP($A24,'Pivot rīcības un objekti'!$A$4:$U$193,F$9,FALSE)</f>
        <v>66</v>
      </c>
      <c r="G24" s="265">
        <f>VLOOKUP($A24,'Pivot rīcības un objekti'!$A$4:$U$193,G$9,FALSE)</f>
        <v>42</v>
      </c>
      <c r="H24" s="265">
        <f>VLOOKUP($A24,'Pivot rīcības un objekti'!$A$4:$U$193,H$9,FALSE)</f>
        <v>16</v>
      </c>
      <c r="I24" s="265">
        <f>VLOOKUP($A24,'Pivot rīcības un objekti'!$A$4:$U$192,I$9,FALSE)</f>
        <v>23</v>
      </c>
      <c r="J24" s="265">
        <f>VLOOKUP($A24,'Pivot rīcības un objekti'!$A$4:$U$192,J$9,FALSE)</f>
        <v>14</v>
      </c>
      <c r="K24" s="293">
        <f>VLOOKUP(Table4[[#This Row],[Rīcības kods]],'Pivot rīcības un objekti'!$A$4:$T$233,19,FALSE)</f>
        <v>32.166666666666664</v>
      </c>
      <c r="L24" s="265">
        <f>VLOOKUP(Table4[[#This Row],[Rīcības kods]],'Pivot rīcības un objekti'!$A$4:$F$232,6,FALSE)</f>
        <v>1</v>
      </c>
      <c r="M24" s="265">
        <f>VLOOKUP(Table4[[#This Row],[Rīcības kods]],'Pivot rīcības un objekti'!$A$4:$F$232,2,FALSE)</f>
        <v>7160</v>
      </c>
      <c r="N24" s="266">
        <f>Table4[[#This Row],[Izmaksas, EUR]]+N23</f>
        <v>130870</v>
      </c>
      <c r="O24" s="268"/>
      <c r="R24" s="344"/>
      <c r="U24" s="344"/>
      <c r="W24" s="61"/>
    </row>
    <row r="25" spans="1:23" ht="44.45" customHeight="1">
      <c r="A25" s="262" t="s">
        <v>185</v>
      </c>
      <c r="B25" s="271" t="s">
        <v>324</v>
      </c>
      <c r="C25" s="264" t="str">
        <f>VLOOKUP(Table4[[#This Row],[Rīcības kods]],Rīcibas_plans!$B$4:$D$234,3,FALSE)</f>
        <v>Ķekavas Ambulances priekšlaukums, Gaismas iela 15</v>
      </c>
      <c r="D25" s="265" t="str">
        <f>VLOOKUP($A25,'Pivot rīcības un objekti'!$A$4:$U$193,21,FALSE)</f>
        <v>Iezīmēt ambulances ieejas zonu, lietišķās atpūtas vieta (S tips) pie ieejas.</v>
      </c>
      <c r="E25" s="265">
        <f>VLOOKUP($A25,'Pivot rīcības un objekti'!$A$4:$U$193,E$9,FALSE)</f>
        <v>39</v>
      </c>
      <c r="F25" s="265">
        <f>VLOOKUP($A25,'Pivot rīcības un objekti'!$A$4:$U$193,F$9,FALSE)</f>
        <v>26</v>
      </c>
      <c r="G25" s="265">
        <f>VLOOKUP($A25,'Pivot rīcības un objekti'!$A$4:$U$193,G$9,FALSE)</f>
        <v>106</v>
      </c>
      <c r="H25" s="265">
        <f>VLOOKUP($A25,'Pivot rīcības un objekti'!$A$4:$U$193,H$9,FALSE)</f>
        <v>9</v>
      </c>
      <c r="I25" s="265">
        <f>VLOOKUP($A25,'Pivot rīcības un objekti'!$A$4:$U$192,I$9,FALSE)</f>
        <v>11</v>
      </c>
      <c r="J25" s="265">
        <f>VLOOKUP($A25,'Pivot rīcības un objekti'!$A$4:$U$192,J$9,FALSE)</f>
        <v>19</v>
      </c>
      <c r="K25" s="293">
        <f>VLOOKUP(Table4[[#This Row],[Rīcības kods]],'Pivot rīcības un objekti'!$A$4:$T$233,19,FALSE)</f>
        <v>35</v>
      </c>
      <c r="L25" s="265">
        <f>VLOOKUP(Table4[[#This Row],[Rīcības kods]],'Pivot rīcības un objekti'!$A$4:$F$232,6,FALSE)</f>
        <v>1</v>
      </c>
      <c r="M25" s="265">
        <f>VLOOKUP(Table4[[#This Row],[Rīcības kods]],'Pivot rīcības un objekti'!$A$4:$F$232,2,FALSE)</f>
        <v>2765</v>
      </c>
      <c r="N25" s="266">
        <f>Table4[[#This Row],[Izmaksas, EUR]]+N24</f>
        <v>133635</v>
      </c>
      <c r="O25" s="267"/>
      <c r="R25" s="344"/>
      <c r="U25" s="344"/>
      <c r="W25" s="61"/>
    </row>
    <row r="26" spans="1:23" ht="52.15" customHeight="1">
      <c r="A26" s="262" t="s">
        <v>57</v>
      </c>
      <c r="B26" s="271" t="s">
        <v>323</v>
      </c>
      <c r="C26" s="264" t="str">
        <f>VLOOKUP(Table4[[#This Row],[Rīcības kods]],Rīcibas_plans!$B$4:$D$234,3,FALSE)</f>
        <v>Sabiedriskā transporta pieturas "Baloži" pie zemes gabala Rīgas ielā 19</v>
      </c>
      <c r="D26" s="265" t="str">
        <f>VLOOKUP($A26,'Pivot rīcības un objekti'!$A$4:$U$193,21,FALSE)</f>
        <v>Veikt pieturas pārbūvi, veidojot kā L tipa sabiedriskā transporta pieturu.</v>
      </c>
      <c r="E26" s="265">
        <f>VLOOKUP($A26,'Pivot rīcības un objekti'!$A$4:$U$193,E$9,FALSE)</f>
        <v>55</v>
      </c>
      <c r="F26" s="265">
        <f>VLOOKUP($A26,'Pivot rīcības un objekti'!$A$4:$U$193,F$9,FALSE)</f>
        <v>27</v>
      </c>
      <c r="G26" s="265">
        <f>VLOOKUP($A26,'Pivot rīcības un objekti'!$A$4:$U$193,G$9,FALSE)</f>
        <v>56</v>
      </c>
      <c r="H26" s="265">
        <f>VLOOKUP($A26,'Pivot rīcības un objekti'!$A$4:$U$193,H$9,FALSE)</f>
        <v>37</v>
      </c>
      <c r="I26" s="265">
        <f>VLOOKUP($A26,'Pivot rīcības un objekti'!$A$4:$U$192,I$9,FALSE)</f>
        <v>20</v>
      </c>
      <c r="J26" s="265">
        <f>VLOOKUP($A26,'Pivot rīcības un objekti'!$A$4:$U$192,J$9,FALSE)</f>
        <v>33</v>
      </c>
      <c r="K26" s="293">
        <f>VLOOKUP(Table4[[#This Row],[Rīcības kods]],'Pivot rīcības un objekti'!$A$4:$T$233,19,FALSE)</f>
        <v>38</v>
      </c>
      <c r="L26" s="265">
        <f>VLOOKUP(Table4[[#This Row],[Rīcības kods]],'Pivot rīcības un objekti'!$A$4:$F$232,6,FALSE)</f>
        <v>1</v>
      </c>
      <c r="M26" s="265">
        <f>VLOOKUP(Table4[[#This Row],[Rīcības kods]],'Pivot rīcības un objekti'!$A$4:$F$232,2,FALSE)</f>
        <v>14320</v>
      </c>
      <c r="N26" s="266">
        <f>Table4[[#This Row],[Izmaksas, EUR]]+N25</f>
        <v>147955</v>
      </c>
      <c r="O26" s="276"/>
      <c r="R26" s="344"/>
      <c r="U26" s="344"/>
      <c r="W26" s="61"/>
    </row>
    <row r="27" spans="1:23" ht="42">
      <c r="A27" s="262" t="s">
        <v>58</v>
      </c>
      <c r="B27" s="271" t="s">
        <v>323</v>
      </c>
      <c r="C27" s="264" t="str">
        <f>VLOOKUP(Table4[[#This Row],[Rīcības kods]],Rīcibas_plans!$B$4:$D$234,3,FALSE)</f>
        <v>Sabiedriskā transporta pietura "Skola" pie zemes gabala Rīgas ielā 14</v>
      </c>
      <c r="D27" s="265" t="str">
        <f>VLOOKUP($A27,'Pivot rīcības un objekti'!$A$4:$U$193,21,FALSE)</f>
        <v>Veikt pieturas pārbūvi, veidojot kā L tipa sabiedriskā transporta pieturu.</v>
      </c>
      <c r="E27" s="265">
        <f>VLOOKUP($A27,'Pivot rīcības un objekti'!$A$4:$U$193,E$9,FALSE)</f>
        <v>55</v>
      </c>
      <c r="F27" s="265">
        <f>VLOOKUP($A27,'Pivot rīcības un objekti'!$A$4:$U$193,F$9,FALSE)</f>
        <v>27</v>
      </c>
      <c r="G27" s="265">
        <f>VLOOKUP($A27,'Pivot rīcības un objekti'!$A$4:$U$193,G$9,FALSE)</f>
        <v>56</v>
      </c>
      <c r="H27" s="265">
        <f>VLOOKUP($A27,'Pivot rīcības un objekti'!$A$4:$U$193,H$9,FALSE)</f>
        <v>37</v>
      </c>
      <c r="I27" s="265">
        <f>VLOOKUP($A27,'Pivot rīcības un objekti'!$A$4:$U$192,I$9,FALSE)</f>
        <v>20</v>
      </c>
      <c r="J27" s="265">
        <f>VLOOKUP($A27,'Pivot rīcības un objekti'!$A$4:$U$192,J$9,FALSE)</f>
        <v>33</v>
      </c>
      <c r="K27" s="293">
        <f>VLOOKUP(Table4[[#This Row],[Rīcības kods]],'Pivot rīcības un objekti'!$A$4:$T$233,19,FALSE)</f>
        <v>38</v>
      </c>
      <c r="L27" s="265">
        <f>VLOOKUP(Table4[[#This Row],[Rīcības kods]],'Pivot rīcības un objekti'!$A$4:$F$232,6,FALSE)</f>
        <v>1</v>
      </c>
      <c r="M27" s="265">
        <f>VLOOKUP(Table4[[#This Row],[Rīcības kods]],'Pivot rīcības un objekti'!$A$4:$F$232,2,FALSE)</f>
        <v>14320</v>
      </c>
      <c r="N27" s="266">
        <f>Table4[[#This Row],[Izmaksas, EUR]]+N26</f>
        <v>162275</v>
      </c>
      <c r="O27" s="268"/>
      <c r="R27" s="344"/>
      <c r="U27" s="344"/>
      <c r="W27" s="61"/>
    </row>
    <row r="28" spans="1:23" ht="28.15">
      <c r="A28" s="262" t="s">
        <v>252</v>
      </c>
      <c r="B28" s="271" t="s">
        <v>328</v>
      </c>
      <c r="C28" s="264" t="str">
        <f>VLOOKUP(Table4[[#This Row],[Rīcības kods]],Rīcibas_plans!$B$4:$D$234,3,FALSE)</f>
        <v>Pļavniekkalna ielas lietišķais labiekārtojums</v>
      </c>
      <c r="D28" s="265" t="e">
        <f>VLOOKUP($A28,'Pivot rīcības un objekti'!$A$4:$U$193,21,FALSE)</f>
        <v>#N/A</v>
      </c>
      <c r="E28" s="265" t="e">
        <f>VLOOKUP($A28,'Pivot rīcības un objekti'!$A$4:$U$193,E$9,FALSE)</f>
        <v>#N/A</v>
      </c>
      <c r="F28" s="265" t="e">
        <f>VLOOKUP($A28,'Pivot rīcības un objekti'!$A$4:$U$193,F$9,FALSE)</f>
        <v>#N/A</v>
      </c>
      <c r="G28" s="265" t="e">
        <f>VLOOKUP($A28,'Pivot rīcības un objekti'!$A$4:$U$193,G$9,FALSE)</f>
        <v>#N/A</v>
      </c>
      <c r="H28" s="265" t="e">
        <f>VLOOKUP($A28,'Pivot rīcības un objekti'!$A$4:$U$193,H$9,FALSE)</f>
        <v>#N/A</v>
      </c>
      <c r="I28" s="265" t="e">
        <f>VLOOKUP($A28,'Pivot rīcības un objekti'!$A$4:$U$192,I$9,FALSE)</f>
        <v>#N/A</v>
      </c>
      <c r="J28" s="265" t="e">
        <f>VLOOKUP($A28,'Pivot rīcības un objekti'!$A$4:$U$192,J$9,FALSE)</f>
        <v>#N/A</v>
      </c>
      <c r="K28" s="293">
        <f>VLOOKUP(Table4[[#This Row],[Rīcības kods]],'Pivot rīcības un objekti'!$A$4:$T$233,19,FALSE)</f>
        <v>40</v>
      </c>
      <c r="L28" s="265">
        <f>VLOOKUP(Table4[[#This Row],[Rīcības kods]],'Pivot rīcības un objekti'!$A$4:$F$232,6,FALSE)</f>
        <v>1</v>
      </c>
      <c r="M28" s="265">
        <f>VLOOKUP(Table4[[#This Row],[Rīcības kods]],'Pivot rīcības un objekti'!$A$4:$F$232,2,FALSE)</f>
        <v>9450</v>
      </c>
      <c r="N28" s="266">
        <f>Table4[[#This Row],[Izmaksas, EUR]]+N27</f>
        <v>171725</v>
      </c>
      <c r="O28" s="267"/>
      <c r="R28" s="344"/>
      <c r="U28" s="344"/>
      <c r="W28" s="61"/>
    </row>
    <row r="29" spans="1:23" ht="28.15">
      <c r="A29" s="262" t="s">
        <v>233</v>
      </c>
      <c r="B29" s="271" t="s">
        <v>324</v>
      </c>
      <c r="C29" s="264" t="str">
        <f>VLOOKUP(Table4[[#This Row],[Rīcības kods]],Rīcibas_plans!$B$4:$D$234,3,FALSE)</f>
        <v>Ķekavas upes ieteka, Ķekavas parks, Rīgas iela 71A,</v>
      </c>
      <c r="D29" s="265" t="str">
        <f>VLOOKUP($A29,'Pivot rīcības un objekti'!$A$4:$U$193,21,FALSE)</f>
        <v>Gājēju ceļu izbūve, veidojot savienojumus ar citām rekreācijas teritorijām</v>
      </c>
      <c r="E29" s="265">
        <f>VLOOKUP($A29,'Pivot rīcības un objekti'!$A$4:$U$193,E$9,FALSE)</f>
        <v>55</v>
      </c>
      <c r="F29" s="265">
        <f>VLOOKUP($A29,'Pivot rīcības un objekti'!$A$4:$U$193,F$9,FALSE)</f>
        <v>66</v>
      </c>
      <c r="G29" s="265">
        <f>VLOOKUP($A29,'Pivot rīcības un objekti'!$A$4:$U$193,G$9,FALSE)</f>
        <v>42</v>
      </c>
      <c r="H29" s="265">
        <f>VLOOKUP($A29,'Pivot rīcības un objekti'!$A$4:$U$193,H$9,FALSE)</f>
        <v>30</v>
      </c>
      <c r="I29" s="265">
        <f>VLOOKUP($A29,'Pivot rīcības un objekti'!$A$4:$U$192,I$9,FALSE)</f>
        <v>32</v>
      </c>
      <c r="J29" s="265">
        <f>VLOOKUP($A29,'Pivot rīcības un objekti'!$A$4:$U$192,J$9,FALSE)</f>
        <v>20</v>
      </c>
      <c r="K29" s="293">
        <f>VLOOKUP(Table4[[#This Row],[Rīcības kods]],'Pivot rīcības un objekti'!$A$4:$T$233,19,FALSE)</f>
        <v>40.833333333333336</v>
      </c>
      <c r="L29" s="265">
        <f>VLOOKUP(Table4[[#This Row],[Rīcības kods]],'Pivot rīcības un objekti'!$A$4:$F$232,6,FALSE)</f>
        <v>1</v>
      </c>
      <c r="M29" s="265">
        <f>VLOOKUP(Table4[[#This Row],[Rīcības kods]],'Pivot rīcības un objekti'!$A$4:$F$232,2,FALSE)</f>
        <v>11000</v>
      </c>
      <c r="N29" s="266">
        <f>Table4[[#This Row],[Izmaksas, EUR]]+N28</f>
        <v>182725</v>
      </c>
      <c r="O29" s="268"/>
      <c r="R29" s="344"/>
      <c r="U29" s="344"/>
      <c r="W29" s="61"/>
    </row>
    <row r="30" spans="1:23" ht="42">
      <c r="A30" s="262" t="s">
        <v>263</v>
      </c>
      <c r="B30" s="271" t="s">
        <v>327</v>
      </c>
      <c r="C30" s="264" t="str">
        <f>VLOOKUP(Table4[[#This Row],[Rīcības kods]],Rīcibas_plans!$B$4:$D$234,3,FALSE)</f>
        <v>Sabiedriskā transporta pietura "Valdlauču centrs" uz Bauskas ielas (autoceļa V1 Valdlauči - Rāmava)</v>
      </c>
      <c r="D30" s="265" t="e">
        <f>VLOOKUP($A30,'Pivot rīcības un objekti'!$A$4:$U$193,21,FALSE)</f>
        <v>#N/A</v>
      </c>
      <c r="E30" s="265" t="e">
        <f>VLOOKUP($A30,'Pivot rīcības un objekti'!$A$4:$U$193,E$9,FALSE)</f>
        <v>#N/A</v>
      </c>
      <c r="F30" s="265" t="e">
        <f>VLOOKUP($A30,'Pivot rīcības un objekti'!$A$4:$U$193,F$9,FALSE)</f>
        <v>#N/A</v>
      </c>
      <c r="G30" s="265" t="e">
        <f>VLOOKUP($A30,'Pivot rīcības un objekti'!$A$4:$U$193,G$9,FALSE)</f>
        <v>#N/A</v>
      </c>
      <c r="H30" s="265" t="e">
        <f>VLOOKUP($A30,'Pivot rīcības un objekti'!$A$4:$U$193,H$9,FALSE)</f>
        <v>#N/A</v>
      </c>
      <c r="I30" s="265" t="e">
        <f>VLOOKUP($A30,'Pivot rīcības un objekti'!$A$4:$U$192,I$9,FALSE)</f>
        <v>#N/A</v>
      </c>
      <c r="J30" s="265" t="e">
        <f>VLOOKUP($A30,'Pivot rīcības un objekti'!$A$4:$U$192,J$9,FALSE)</f>
        <v>#N/A</v>
      </c>
      <c r="K30" s="293">
        <f>VLOOKUP(Table4[[#This Row],[Rīcības kods]],'Pivot rīcības un objekti'!$A$4:$T$233,19,FALSE)</f>
        <v>44</v>
      </c>
      <c r="L30" s="265">
        <f>VLOOKUP(Table4[[#This Row],[Rīcības kods]],'Pivot rīcības un objekti'!$A$4:$F$232,6,FALSE)</f>
        <v>1</v>
      </c>
      <c r="M30" s="265">
        <f>VLOOKUP(Table4[[#This Row],[Rīcības kods]],'Pivot rīcības un objekti'!$A$4:$F$232,2,FALSE)</f>
        <v>14320</v>
      </c>
      <c r="N30" s="266">
        <f>Table4[[#This Row],[Izmaksas, EUR]]+N29</f>
        <v>197045</v>
      </c>
      <c r="O30" s="267"/>
      <c r="R30" s="344"/>
      <c r="U30" s="344"/>
      <c r="W30" s="61"/>
    </row>
    <row r="31" spans="1:23" ht="28.15">
      <c r="A31" s="262" t="s">
        <v>256</v>
      </c>
      <c r="B31" s="271" t="s">
        <v>327</v>
      </c>
      <c r="C31" s="264" t="str">
        <f>VLOOKUP(Table4[[#This Row],[Rīcības kods]],Rīcibas_plans!$B$4:$D$234,3,FALSE)</f>
        <v>Rāmavas ielas lietišķais labiekārtojums</v>
      </c>
      <c r="D31" s="265" t="e">
        <f>VLOOKUP($A31,'Pivot rīcības un objekti'!$A$4:$U$193,21,FALSE)</f>
        <v>#N/A</v>
      </c>
      <c r="E31" s="265" t="e">
        <f>VLOOKUP($A31,'Pivot rīcības un objekti'!$A$4:$U$193,E$9,FALSE)</f>
        <v>#N/A</v>
      </c>
      <c r="F31" s="265" t="e">
        <f>VLOOKUP($A31,'Pivot rīcības un objekti'!$A$4:$U$193,F$9,FALSE)</f>
        <v>#N/A</v>
      </c>
      <c r="G31" s="265" t="e">
        <f>VLOOKUP($A31,'Pivot rīcības un objekti'!$A$4:$U$193,G$9,FALSE)</f>
        <v>#N/A</v>
      </c>
      <c r="H31" s="265" t="e">
        <f>VLOOKUP($A31,'Pivot rīcības un objekti'!$A$4:$U$193,H$9,FALSE)</f>
        <v>#N/A</v>
      </c>
      <c r="I31" s="265" t="e">
        <f>VLOOKUP($A31,'Pivot rīcības un objekti'!$A$4:$U$192,I$9,FALSE)</f>
        <v>#N/A</v>
      </c>
      <c r="J31" s="265" t="e">
        <f>VLOOKUP($A31,'Pivot rīcības un objekti'!$A$4:$U$192,J$9,FALSE)</f>
        <v>#N/A</v>
      </c>
      <c r="K31" s="293">
        <f>VLOOKUP(Table4[[#This Row],[Rīcības kods]],'Pivot rīcības un objekti'!$A$4:$T$233,19,FALSE)</f>
        <v>52</v>
      </c>
      <c r="L31" s="265">
        <f>VLOOKUP(Table4[[#This Row],[Rīcības kods]],'Pivot rīcības un objekti'!$A$4:$F$232,6,FALSE)</f>
        <v>1</v>
      </c>
      <c r="M31" s="265">
        <f>VLOOKUP(Table4[[#This Row],[Rīcības kods]],'Pivot rīcības un objekti'!$A$4:$F$232,2,FALSE)</f>
        <v>25200</v>
      </c>
      <c r="N31" s="266">
        <f>Table4[[#This Row],[Izmaksas, EUR]]+N30</f>
        <v>222245</v>
      </c>
      <c r="O31" s="267"/>
      <c r="R31" s="344"/>
      <c r="U31" s="344"/>
      <c r="W31" s="61"/>
    </row>
    <row r="32" spans="1:23" ht="55.9">
      <c r="A32" s="262" t="s">
        <v>249</v>
      </c>
      <c r="B32" s="271" t="s">
        <v>328</v>
      </c>
      <c r="C32" s="264" t="str">
        <f>VLOOKUP(Table4[[#This Row],[Rīcības kods]],Rīcibas_plans!$B$4:$D$234,3,FALSE)</f>
        <v>Sabiedriskā transporta pietura "Pļavniekkalns" , pie Pļavniekkalna ielas 20 (Pļavniekkalna sākumskolas)</v>
      </c>
      <c r="D32" s="265" t="e">
        <f>VLOOKUP($A32,'Pivot rīcības un objekti'!$A$4:$U$193,21,FALSE)</f>
        <v>#N/A</v>
      </c>
      <c r="E32" s="265" t="e">
        <f>VLOOKUP($A32,'Pivot rīcības un objekti'!$A$4:$U$193,E$9,FALSE)</f>
        <v>#N/A</v>
      </c>
      <c r="F32" s="265" t="e">
        <f>VLOOKUP($A32,'Pivot rīcības un objekti'!$A$4:$U$193,F$9,FALSE)</f>
        <v>#N/A</v>
      </c>
      <c r="G32" s="265" t="e">
        <f>VLOOKUP($A32,'Pivot rīcības un objekti'!$A$4:$U$193,G$9,FALSE)</f>
        <v>#N/A</v>
      </c>
      <c r="H32" s="265" t="e">
        <f>VLOOKUP($A32,'Pivot rīcības un objekti'!$A$4:$U$193,H$9,FALSE)</f>
        <v>#N/A</v>
      </c>
      <c r="I32" s="265" t="e">
        <f>VLOOKUP($A32,'Pivot rīcības un objekti'!$A$4:$U$192,I$9,FALSE)</f>
        <v>#N/A</v>
      </c>
      <c r="J32" s="265" t="e">
        <f>VLOOKUP($A32,'Pivot rīcības un objekti'!$A$4:$U$192,J$9,FALSE)</f>
        <v>#N/A</v>
      </c>
      <c r="K32" s="293">
        <f>VLOOKUP(Table4[[#This Row],[Rīcības kods]],'Pivot rīcības un objekti'!$A$4:$T$233,19,FALSE)</f>
        <v>52.666666666666664</v>
      </c>
      <c r="L32" s="265">
        <f>VLOOKUP(Table4[[#This Row],[Rīcības kods]],'Pivot rīcības un objekti'!$A$4:$F$232,6,FALSE)</f>
        <v>1</v>
      </c>
      <c r="M32" s="265">
        <f>VLOOKUP(Table4[[#This Row],[Rīcības kods]],'Pivot rīcības un objekti'!$A$4:$F$232,2,FALSE)</f>
        <v>14320</v>
      </c>
      <c r="N32" s="266">
        <f>Table4[[#This Row],[Izmaksas, EUR]]+N31</f>
        <v>236565</v>
      </c>
      <c r="O32" s="267"/>
      <c r="R32" s="344"/>
      <c r="U32" s="344"/>
      <c r="W32" s="61"/>
    </row>
    <row r="33" spans="1:23" ht="28.15">
      <c r="A33" s="262" t="s">
        <v>79</v>
      </c>
      <c r="B33" s="271" t="s">
        <v>323</v>
      </c>
      <c r="C33" s="264" t="str">
        <f>VLOOKUP(Table4[[#This Row],[Rīcības kods]],Rīcibas_plans!$B$4:$D$234,3,FALSE)</f>
        <v>Saulgriežu ielas gājēju un velosipēdistu infrastruktūra</v>
      </c>
      <c r="D33" s="265" t="str">
        <f>VLOOKUP($A33,'Pivot rīcības un objekti'!$A$4:$U$193,21,FALSE)</f>
        <v>Apgaismotas ietves izbūve Saulgriežu ielas visā garumā. Lietišķās atpūtas vietu izvietošana (S tips)</v>
      </c>
      <c r="E33" s="265">
        <f>VLOOKUP($A33,'Pivot rīcības un objekti'!$A$4:$U$193,E$9,FALSE)</f>
        <v>76</v>
      </c>
      <c r="F33" s="265">
        <f>VLOOKUP($A33,'Pivot rīcības un objekti'!$A$4:$U$193,F$9,FALSE)</f>
        <v>43</v>
      </c>
      <c r="G33" s="265">
        <f>VLOOKUP($A33,'Pivot rīcības un objekti'!$A$4:$U$193,G$9,FALSE)</f>
        <v>76</v>
      </c>
      <c r="H33" s="265">
        <f>VLOOKUP($A33,'Pivot rīcības un objekti'!$A$4:$U$193,H$9,FALSE)</f>
        <v>52</v>
      </c>
      <c r="I33" s="265">
        <f>VLOOKUP($A33,'Pivot rīcības un objekti'!$A$4:$U$192,I$9,FALSE)</f>
        <v>33</v>
      </c>
      <c r="J33" s="265">
        <f>VLOOKUP($A33,'Pivot rīcības un objekti'!$A$4:$U$192,J$9,FALSE)</f>
        <v>49</v>
      </c>
      <c r="K33" s="293">
        <f>VLOOKUP(Table4[[#This Row],[Rīcības kods]],'Pivot rīcības un objekti'!$A$4:$T$233,19,FALSE)</f>
        <v>54.833333333333336</v>
      </c>
      <c r="L33" s="265">
        <f>VLOOKUP(Table4[[#This Row],[Rīcības kods]],'Pivot rīcības un objekti'!$A$4:$F$232,6,FALSE)</f>
        <v>1</v>
      </c>
      <c r="M33" s="265">
        <f>VLOOKUP(Table4[[#This Row],[Rīcības kods]],'Pivot rīcības un objekti'!$A$4:$F$232,2,FALSE)</f>
        <v>16590</v>
      </c>
      <c r="N33" s="266">
        <f>Table4[[#This Row],[Izmaksas, EUR]]+N32</f>
        <v>253155</v>
      </c>
      <c r="O33" s="336"/>
      <c r="R33" s="344"/>
      <c r="U33" s="344"/>
      <c r="W33" s="61"/>
    </row>
    <row r="34" spans="1:23" ht="28.15">
      <c r="A34" s="262" t="s">
        <v>259</v>
      </c>
      <c r="B34" s="271" t="s">
        <v>325</v>
      </c>
      <c r="C34" s="264" t="str">
        <f>VLOOKUP(Table4[[#This Row],[Rīcības kods]],Rīcibas_plans!$B$4:$D$234,3,FALSE)</f>
        <v>V2 valsts ceļa gājēju un velosipēdu infrasturktūra</v>
      </c>
      <c r="D34" s="265" t="e">
        <f>VLOOKUP($A34,'Pivot rīcības un objekti'!$A$4:$U$193,21,FALSE)</f>
        <v>#N/A</v>
      </c>
      <c r="E34" s="265" t="e">
        <f>VLOOKUP($A34,'Pivot rīcības un objekti'!$A$4:$U$193,E$9,FALSE)</f>
        <v>#N/A</v>
      </c>
      <c r="F34" s="265" t="e">
        <f>VLOOKUP($A34,'Pivot rīcības un objekti'!$A$4:$U$193,F$9,FALSE)</f>
        <v>#N/A</v>
      </c>
      <c r="G34" s="265" t="e">
        <f>VLOOKUP($A34,'Pivot rīcības un objekti'!$A$4:$U$193,G$9,FALSE)</f>
        <v>#N/A</v>
      </c>
      <c r="H34" s="265" t="e">
        <f>VLOOKUP($A34,'Pivot rīcības un objekti'!$A$4:$U$193,H$9,FALSE)</f>
        <v>#N/A</v>
      </c>
      <c r="I34" s="265" t="e">
        <f>VLOOKUP($A34,'Pivot rīcības un objekti'!$A$4:$U$192,I$9,FALSE)</f>
        <v>#N/A</v>
      </c>
      <c r="J34" s="265" t="e">
        <f>VLOOKUP($A34,'Pivot rīcības un objekti'!$A$4:$U$192,J$9,FALSE)</f>
        <v>#N/A</v>
      </c>
      <c r="K34" s="293">
        <f>VLOOKUP(Table4[[#This Row],[Rīcības kods]],'Pivot rīcības un objekti'!$A$4:$T$233,19,FALSE)</f>
        <v>61</v>
      </c>
      <c r="L34" s="265">
        <f>VLOOKUP(Table4[[#This Row],[Rīcības kods]],'Pivot rīcības un objekti'!$A$4:$F$232,6,FALSE)</f>
        <v>1</v>
      </c>
      <c r="M34" s="265">
        <f>VLOOKUP(Table4[[#This Row],[Rīcības kods]],'Pivot rīcības un objekti'!$A$4:$F$232,2,FALSE)</f>
        <v>1650000</v>
      </c>
      <c r="N34" s="266">
        <f>Table4[[#This Row],[Izmaksas, EUR]]+N33</f>
        <v>1903155</v>
      </c>
      <c r="O34" s="296"/>
      <c r="R34" s="344"/>
      <c r="U34" s="344"/>
      <c r="W34" s="61"/>
    </row>
    <row r="35" spans="1:23" ht="28.15">
      <c r="A35" s="262" t="s">
        <v>140</v>
      </c>
      <c r="B35" s="271" t="s">
        <v>329</v>
      </c>
      <c r="C35" s="264" t="str">
        <f>VLOOKUP(Table4[[#This Row],[Rīcības kods]],Rīcibas_plans!$B$4:$D$234,3,FALSE)</f>
        <v>Daugmales pamatskolas sporta laukums (kad.nr.80560020269)</v>
      </c>
      <c r="D35" s="265" t="str">
        <f>VLOOKUP($A35,'Pivot rīcības un objekti'!$A$4:$U$193,21,FALSE)</f>
        <v xml:space="preserve"> Daugmales sporta laukuma izbūve. Disciplīnas - skriešanas celiņš, vieglatlētikas disciplīnas elementi.</v>
      </c>
      <c r="E35" s="265">
        <f>VLOOKUP($A35,'Pivot rīcības un objekti'!$A$4:$U$193,E$9,FALSE)</f>
        <v>173</v>
      </c>
      <c r="F35" s="265">
        <f>VLOOKUP($A35,'Pivot rīcības un objekti'!$A$4:$U$193,F$9,FALSE)</f>
        <v>130</v>
      </c>
      <c r="G35" s="265">
        <f>VLOOKUP($A35,'Pivot rīcības un objekti'!$A$4:$U$193,G$9,FALSE)</f>
        <v>65</v>
      </c>
      <c r="H35" s="265">
        <f>VLOOKUP($A35,'Pivot rīcības un objekti'!$A$4:$U$193,H$9,FALSE)</f>
        <v>6</v>
      </c>
      <c r="I35" s="265">
        <f>VLOOKUP($A35,'Pivot rīcības un objekti'!$A$4:$U$192,I$9,FALSE)</f>
        <v>5</v>
      </c>
      <c r="J35" s="265">
        <f>VLOOKUP($A35,'Pivot rīcības un objekti'!$A$4:$U$192,J$9,FALSE)</f>
        <v>2</v>
      </c>
      <c r="K35" s="293">
        <f>VLOOKUP(Table4[[#This Row],[Rīcības kods]],'Pivot rīcības un objekti'!$A$4:$T$233,19,FALSE)</f>
        <v>63.5</v>
      </c>
      <c r="L35" s="265">
        <f>VLOOKUP(Table4[[#This Row],[Rīcības kods]],'Pivot rīcības un objekti'!$A$4:$F$232,6,FALSE)</f>
        <v>1</v>
      </c>
      <c r="M35" s="266">
        <f>VLOOKUP(Table4[[#This Row],[Rīcības kods]],'Pivot rīcības un objekti'!$A$4:$F$232,2,FALSE)</f>
        <v>50</v>
      </c>
      <c r="N35" s="266">
        <f>Table4[[#This Row],[Izmaksas, EUR]]+N34</f>
        <v>1903205</v>
      </c>
      <c r="O35" s="268"/>
      <c r="R35" s="344"/>
      <c r="U35" s="61"/>
      <c r="W35" s="61"/>
    </row>
    <row r="36" spans="1:23" ht="28.15">
      <c r="A36" s="262" t="s">
        <v>194</v>
      </c>
      <c r="B36" s="271" t="s">
        <v>324</v>
      </c>
      <c r="C36" s="264" t="str">
        <f>VLOOKUP(Table4[[#This Row],[Rīcības kods]],Rīcibas_plans!$B$4:$D$234,3,FALSE)</f>
        <v>Pliederu ielas lietišķais labiekārtojums</v>
      </c>
      <c r="D36" s="265" t="str">
        <f>VLOOKUP($A36,'Pivot rīcības un objekti'!$A$4:$U$193,21,FALSE)</f>
        <v>Izvietot lietišķās atpūtas vietas (S tips).</v>
      </c>
      <c r="E36" s="265">
        <f>VLOOKUP($A36,'Pivot rīcības un objekti'!$A$4:$U$193,E$9,FALSE)</f>
        <v>134</v>
      </c>
      <c r="F36" s="265">
        <f>VLOOKUP($A36,'Pivot rīcības un objekti'!$A$4:$U$193,F$9,FALSE)</f>
        <v>65</v>
      </c>
      <c r="G36" s="265">
        <f>VLOOKUP($A36,'Pivot rīcības un objekti'!$A$4:$U$193,G$9,FALSE)</f>
        <v>69</v>
      </c>
      <c r="H36" s="265">
        <f>VLOOKUP($A36,'Pivot rīcības un objekti'!$A$4:$U$193,H$9,FALSE)</f>
        <v>67</v>
      </c>
      <c r="I36" s="265">
        <f>VLOOKUP($A36,'Pivot rīcības un objekti'!$A$4:$U$192,I$9,FALSE)</f>
        <v>30</v>
      </c>
      <c r="J36" s="265">
        <f>VLOOKUP($A36,'Pivot rīcības un objekti'!$A$4:$U$192,J$9,FALSE)</f>
        <v>36</v>
      </c>
      <c r="K36" s="293">
        <f>VLOOKUP(Table4[[#This Row],[Rīcības kods]],'Pivot rīcības un objekti'!$A$4:$T$233,19,FALSE)</f>
        <v>66.833333333333329</v>
      </c>
      <c r="L36" s="265">
        <f>VLOOKUP(Table4[[#This Row],[Rīcības kods]],'Pivot rīcības un objekti'!$A$4:$F$232,6,FALSE)</f>
        <v>1</v>
      </c>
      <c r="M36" s="265">
        <f>VLOOKUP(Table4[[#This Row],[Rīcības kods]],'Pivot rīcības un objekti'!$A$4:$F$232,2,FALSE)</f>
        <v>11060</v>
      </c>
      <c r="N36" s="266">
        <f>Table4[[#This Row],[Izmaksas, EUR]]+N35</f>
        <v>1914265</v>
      </c>
      <c r="O36" s="276"/>
      <c r="R36" s="344"/>
      <c r="W36" s="61"/>
    </row>
    <row r="37" spans="1:23" ht="28.15">
      <c r="A37" s="262" t="s">
        <v>250</v>
      </c>
      <c r="B37" s="271" t="s">
        <v>328</v>
      </c>
      <c r="C37" s="264" t="str">
        <f>VLOOKUP(Table4[[#This Row],[Rīcības kods]],Rīcibas_plans!$B$4:$D$234,3,FALSE)</f>
        <v>Sabiedriskā transporta pietura "Katlakalns", Ģipšustūrī</v>
      </c>
      <c r="D37" s="265" t="e">
        <f>VLOOKUP($A37,'Pivot rīcības un objekti'!$A$4:$U$193,21,FALSE)</f>
        <v>#N/A</v>
      </c>
      <c r="E37" s="265" t="e">
        <f>VLOOKUP($A37,'Pivot rīcības un objekti'!$A$4:$U$193,E$9,FALSE)</f>
        <v>#N/A</v>
      </c>
      <c r="F37" s="265" t="e">
        <f>VLOOKUP($A37,'Pivot rīcības un objekti'!$A$4:$U$193,F$9,FALSE)</f>
        <v>#N/A</v>
      </c>
      <c r="G37" s="265" t="e">
        <f>VLOOKUP($A37,'Pivot rīcības un objekti'!$A$4:$U$193,G$9,FALSE)</f>
        <v>#N/A</v>
      </c>
      <c r="H37" s="265" t="e">
        <f>VLOOKUP($A37,'Pivot rīcības un objekti'!$A$4:$U$193,H$9,FALSE)</f>
        <v>#N/A</v>
      </c>
      <c r="I37" s="265" t="e">
        <f>VLOOKUP($A37,'Pivot rīcības un objekti'!$A$4:$U$192,I$9,FALSE)</f>
        <v>#N/A</v>
      </c>
      <c r="J37" s="265" t="e">
        <f>VLOOKUP($A37,'Pivot rīcības un objekti'!$A$4:$U$192,J$9,FALSE)</f>
        <v>#N/A</v>
      </c>
      <c r="K37" s="293">
        <f>VLOOKUP(Table4[[#This Row],[Rīcības kods]],'Pivot rīcības un objekti'!$A$4:$T$233,19,FALSE)</f>
        <v>68</v>
      </c>
      <c r="L37" s="265">
        <f>VLOOKUP(Table4[[#This Row],[Rīcības kods]],'Pivot rīcības un objekti'!$A$4:$F$232,6,FALSE)</f>
        <v>1</v>
      </c>
      <c r="M37" s="265">
        <f>VLOOKUP(Table4[[#This Row],[Rīcības kods]],'Pivot rīcības un objekti'!$A$4:$F$232,2,FALSE)</f>
        <v>14320</v>
      </c>
      <c r="N37" s="266">
        <f>Table4[[#This Row],[Izmaksas, EUR]]+N36</f>
        <v>1928585</v>
      </c>
      <c r="O37" s="267"/>
      <c r="R37" s="344"/>
    </row>
    <row r="38" spans="1:23" ht="51.6" customHeight="1">
      <c r="A38" s="262" t="s">
        <v>183</v>
      </c>
      <c r="B38" s="271" t="s">
        <v>324</v>
      </c>
      <c r="C38" s="264" t="str">
        <f>VLOOKUP(Table4[[#This Row],[Rīcības kods]],Rīcibas_plans!$B$4:$D$234,3,FALSE)</f>
        <v>Ķekavas autobusu,mikroautobusu galapietura pie ēkas Gaismas ielā 21</v>
      </c>
      <c r="D38" s="265" t="str">
        <f>VLOOKUP($A38,'Pivot rīcības un objekti'!$A$4:$U$193,21,FALSE)</f>
        <v>Nepieciešama laukuma rekonstrukcija un funkcionālā zonējuma izmaiņas - gājēju zona, sabiedriskā transporta uzgaidīšanas zona, autobusu apstāšanās laukums, apstādījumu zona</v>
      </c>
      <c r="E38" s="265">
        <f>VLOOKUP($A38,'Pivot rīcības un objekti'!$A$4:$U$193,E$9,FALSE)</f>
        <v>173</v>
      </c>
      <c r="F38" s="265">
        <f>VLOOKUP($A38,'Pivot rīcības un objekti'!$A$4:$U$193,F$9,FALSE)</f>
        <v>73</v>
      </c>
      <c r="G38" s="265">
        <f>VLOOKUP($A38,'Pivot rīcības un objekti'!$A$4:$U$193,G$9,FALSE)</f>
        <v>54</v>
      </c>
      <c r="H38" s="265">
        <f>VLOOKUP($A38,'Pivot rīcības un objekti'!$A$4:$U$193,H$9,FALSE)</f>
        <v>98</v>
      </c>
      <c r="I38" s="265">
        <f>VLOOKUP($A38,'Pivot rīcības un objekti'!$A$4:$U$192,I$9,FALSE)</f>
        <v>43</v>
      </c>
      <c r="J38" s="265">
        <f>VLOOKUP($A38,'Pivot rīcības un objekti'!$A$4:$U$192,J$9,FALSE)</f>
        <v>30</v>
      </c>
      <c r="K38" s="293">
        <f>VLOOKUP(Table4[[#This Row],[Rīcības kods]],'Pivot rīcības un objekti'!$A$4:$T$233,19,FALSE)</f>
        <v>78.5</v>
      </c>
      <c r="L38" s="265">
        <f>VLOOKUP(Table4[[#This Row],[Rīcības kods]],'Pivot rīcības un objekti'!$A$4:$F$232,6,FALSE)</f>
        <v>1</v>
      </c>
      <c r="M38" s="265">
        <f>VLOOKUP(Table4[[#This Row],[Rīcības kods]],'Pivot rīcības un objekti'!$A$4:$F$232,2,FALSE)</f>
        <v>13080</v>
      </c>
      <c r="N38" s="266">
        <f>Table4[[#This Row],[Izmaksas, EUR]]+N37</f>
        <v>1941665</v>
      </c>
      <c r="O38" s="267"/>
      <c r="R38" s="344"/>
    </row>
    <row r="39" spans="1:23" ht="47.45" customHeight="1">
      <c r="A39" s="262" t="s">
        <v>60</v>
      </c>
      <c r="B39" s="271" t="s">
        <v>330</v>
      </c>
      <c r="C39" s="264" t="str">
        <f>VLOOKUP(Table4[[#This Row],[Rīcības kods]],Rīcibas_plans!$B$4:$D$234,3,FALSE)</f>
        <v>Rīgas ielas labiekārtošana, ietves pārūve, veloceļa izbūve</v>
      </c>
      <c r="D39" s="265" t="str">
        <f>VLOOKUP($A39,'Pivot rīcības un objekti'!$A$4:$U$193,21,FALSE)</f>
        <v>Rīgas ielas no Rīgas iela 20 līdz Skolas ielai labiekārtošana. Gājēju un velo ceļa turpinājums. Lietišķās atpūtas vietu izvietošana (S tips)</v>
      </c>
      <c r="E39" s="265">
        <f>VLOOKUP($A39,'Pivot rīcības un objekti'!$A$4:$U$193,E$9,FALSE)</f>
        <v>93</v>
      </c>
      <c r="F39" s="265">
        <f>VLOOKUP($A39,'Pivot rīcības un objekti'!$A$4:$U$193,F$9,FALSE)</f>
        <v>95</v>
      </c>
      <c r="G39" s="265">
        <f>VLOOKUP($A39,'Pivot rīcības un objekti'!$A$4:$U$193,G$9,FALSE)</f>
        <v>135</v>
      </c>
      <c r="H39" s="265">
        <f>VLOOKUP($A39,'Pivot rīcības un objekti'!$A$4:$U$193,H$9,FALSE)</f>
        <v>52</v>
      </c>
      <c r="I39" s="265">
        <f>VLOOKUP($A39,'Pivot rīcības un objekti'!$A$4:$U$192,I$9,FALSE)</f>
        <v>52</v>
      </c>
      <c r="J39" s="265">
        <f>VLOOKUP($A39,'Pivot rīcības un objekti'!$A$4:$U$192,J$9,FALSE)</f>
        <v>71</v>
      </c>
      <c r="K39" s="293">
        <f>VLOOKUP(Table4[[#This Row],[Rīcības kods]],'Pivot rīcības un objekti'!$A$4:$T$233,19,FALSE)</f>
        <v>83</v>
      </c>
      <c r="L39" s="265">
        <f>VLOOKUP(Table4[[#This Row],[Rīcības kods]],'Pivot rīcības un objekti'!$A$4:$F$232,6,FALSE)</f>
        <v>1</v>
      </c>
      <c r="M39" s="265">
        <f>VLOOKUP(Table4[[#This Row],[Rīcības kods]],'Pivot rīcības un objekti'!$A$4:$F$232,2,FALSE)</f>
        <v>11060</v>
      </c>
      <c r="N39" s="266">
        <f>Table4[[#This Row],[Izmaksas, EUR]]+N38</f>
        <v>1952725</v>
      </c>
      <c r="O39" s="269"/>
      <c r="R39" s="344"/>
    </row>
    <row r="40" spans="1:23" ht="25.15" customHeight="1">
      <c r="A40" s="262" t="s">
        <v>176</v>
      </c>
      <c r="B40" s="271" t="s">
        <v>324</v>
      </c>
      <c r="C40" s="264" t="str">
        <f>VLOOKUP(Table4[[#This Row],[Rīcības kods]],Rīcibas_plans!$B$4:$D$234,3,FALSE)</f>
        <v>Ķekavas vidusskola, Gaismas iela 9</v>
      </c>
      <c r="D40" s="265" t="str">
        <f>VLOOKUP($A40,'Pivot rīcības un objekti'!$A$4:$U$193,21,FALSE)</f>
        <v>Veikt skolas priekšlaukuma rekonstrukciju un funkcionālo zonējumu - gājēju ceļi, velosipēdu novietnes, lietišķās atpūtas vieta (S tipa), apstādījumu zona</v>
      </c>
      <c r="E40" s="265">
        <f>VLOOKUP($A40,'Pivot rīcības un objekti'!$A$4:$U$193,E$9,FALSE)</f>
        <v>149</v>
      </c>
      <c r="F40" s="265">
        <f>VLOOKUP($A40,'Pivot rīcības un objekti'!$A$4:$U$193,F$9,FALSE)</f>
        <v>121</v>
      </c>
      <c r="G40" s="265">
        <f>VLOOKUP($A40,'Pivot rīcības un objekti'!$A$4:$U$193,G$9,FALSE)</f>
        <v>152</v>
      </c>
      <c r="H40" s="265">
        <f>VLOOKUP($A40,'Pivot rīcības un objekti'!$A$4:$U$193,H$9,FALSE)</f>
        <v>35</v>
      </c>
      <c r="I40" s="265">
        <f>VLOOKUP($A40,'Pivot rīcības un objekti'!$A$4:$U$192,I$9,FALSE)</f>
        <v>25</v>
      </c>
      <c r="J40" s="265">
        <f>VLOOKUP($A40,'Pivot rīcības un objekti'!$A$4:$U$192,J$9,FALSE)</f>
        <v>39</v>
      </c>
      <c r="K40" s="293">
        <f>VLOOKUP(Table4[[#This Row],[Rīcības kods]],'Pivot rīcības un objekti'!$A$4:$T$233,19,FALSE)</f>
        <v>86.833333333333329</v>
      </c>
      <c r="L40" s="265">
        <f>VLOOKUP(Table4[[#This Row],[Rīcības kods]],'Pivot rīcības un objekti'!$A$4:$F$232,6,FALSE)</f>
        <v>1</v>
      </c>
      <c r="M40" s="265">
        <f>VLOOKUP(Table4[[#This Row],[Rīcības kods]],'Pivot rīcības un objekti'!$A$4:$F$232,2,FALSE)</f>
        <v>2765</v>
      </c>
      <c r="N40" s="266">
        <f>Table4[[#This Row],[Izmaksas, EUR]]+N39</f>
        <v>1955490</v>
      </c>
      <c r="O40" s="267"/>
      <c r="R40" s="344"/>
    </row>
    <row r="41" spans="1:23" ht="45.6" customHeight="1">
      <c r="A41" s="262" t="s">
        <v>212</v>
      </c>
      <c r="B41" s="271" t="s">
        <v>326</v>
      </c>
      <c r="C41" s="264" t="str">
        <f>VLOOKUP(Table4[[#This Row],[Rīcības kods]],Rīcibas_plans!$B$4:$D$234,3,FALSE)</f>
        <v>Odukalnu ielas izbūve</v>
      </c>
      <c r="D41" s="265" t="str">
        <f>VLOOKUP($A41,'Pivot rīcības un objekti'!$A$4:$U$193,21,FALSE)</f>
        <v xml:space="preserve">Oduklana ielas izbūve ar gājēju un velo infrastruktūru. Lietišķās atpūtas vieta </v>
      </c>
      <c r="E41" s="265">
        <f>VLOOKUP($A41,'Pivot rīcības un objekti'!$A$4:$U$193,E$9,FALSE)</f>
        <v>134</v>
      </c>
      <c r="F41" s="265">
        <f>VLOOKUP($A41,'Pivot rīcības un objekti'!$A$4:$U$193,F$9,FALSE)</f>
        <v>94</v>
      </c>
      <c r="G41" s="265">
        <f>VLOOKUP($A41,'Pivot rīcības un objekti'!$A$4:$U$193,G$9,FALSE)</f>
        <v>134</v>
      </c>
      <c r="H41" s="265">
        <f>VLOOKUP($A41,'Pivot rīcības un objekti'!$A$4:$U$193,H$9,FALSE)</f>
        <v>57</v>
      </c>
      <c r="I41" s="265">
        <f>VLOOKUP($A41,'Pivot rīcības un objekti'!$A$4:$U$192,I$9,FALSE)</f>
        <v>41</v>
      </c>
      <c r="J41" s="265">
        <f>VLOOKUP($A41,'Pivot rīcības un objekti'!$A$4:$U$192,J$9,FALSE)</f>
        <v>61</v>
      </c>
      <c r="K41" s="293">
        <f>VLOOKUP(Table4[[#This Row],[Rīcības kods]],'Pivot rīcības un objekti'!$A$4:$T$233,19,FALSE)</f>
        <v>86.833333333333329</v>
      </c>
      <c r="L41" s="265">
        <f>VLOOKUP(Table4[[#This Row],[Rīcības kods]],'Pivot rīcības un objekti'!$A$4:$F$232,6,FALSE)</f>
        <v>1</v>
      </c>
      <c r="M41" s="265">
        <f>VLOOKUP(Table4[[#This Row],[Rīcības kods]],'Pivot rīcības un objekti'!$A$4:$F$232,2,FALSE)</f>
        <v>8295</v>
      </c>
      <c r="N41" s="266">
        <f>Table4[[#This Row],[Izmaksas, EUR]]+N40</f>
        <v>1963785</v>
      </c>
      <c r="O41" s="268"/>
      <c r="R41" s="344"/>
    </row>
    <row r="42" spans="1:23" ht="28.15">
      <c r="A42" s="262" t="s">
        <v>164</v>
      </c>
      <c r="B42" s="271" t="s">
        <v>331</v>
      </c>
      <c r="C42" s="264" t="str">
        <f>VLOOKUP(Table4[[#This Row],[Rīcības kods]],Rīcibas_plans!$B$4:$D$234,3,FALSE)</f>
        <v>Ielas apgaismojuma izveide no Dzēruma centra līdz A7 autoceļam</v>
      </c>
      <c r="D42" s="265" t="str">
        <f>VLOOKUP($A42,'Pivot rīcības un objekti'!$A$4:$U$193,21,FALSE)</f>
        <v>Ielas pgaismojuma ierīkošana</v>
      </c>
      <c r="E42" s="265">
        <f>VLOOKUP($A42,'Pivot rīcības un objekti'!$A$4:$U$193,E$9,FALSE)</f>
        <v>140</v>
      </c>
      <c r="F42" s="265">
        <f>VLOOKUP($A42,'Pivot rīcības un objekti'!$A$4:$U$193,F$9,FALSE)</f>
        <v>77</v>
      </c>
      <c r="G42" s="265">
        <f>VLOOKUP($A42,'Pivot rīcības un objekti'!$A$4:$U$193,G$9,FALSE)</f>
        <v>99</v>
      </c>
      <c r="H42" s="265">
        <f>VLOOKUP($A42,'Pivot rīcības un objekti'!$A$4:$U$193,H$9,FALSE)</f>
        <v>99</v>
      </c>
      <c r="I42" s="265">
        <f>VLOOKUP($A42,'Pivot rīcības un objekti'!$A$4:$U$192,I$9,FALSE)</f>
        <v>60</v>
      </c>
      <c r="J42" s="265">
        <f>VLOOKUP($A42,'Pivot rīcības un objekti'!$A$4:$U$192,J$9,FALSE)</f>
        <v>68</v>
      </c>
      <c r="K42" s="293">
        <f>VLOOKUP(Table4[[#This Row],[Rīcības kods]],'Pivot rīcības un objekti'!$A$4:$T$233,19,FALSE)</f>
        <v>90.5</v>
      </c>
      <c r="L42" s="265">
        <f>VLOOKUP(Table4[[#This Row],[Rīcības kods]],'Pivot rīcības un objekti'!$A$4:$F$232,6,FALSE)</f>
        <v>1</v>
      </c>
      <c r="M42" s="266">
        <f>VLOOKUP(Table4[[#This Row],[Rīcības kods]],'Pivot rīcības un objekti'!$A$4:$F$232,2,FALSE)</f>
        <v>20000</v>
      </c>
      <c r="N42" s="266">
        <f>Table4[[#This Row],[Izmaksas, EUR]]+N41</f>
        <v>1983785</v>
      </c>
      <c r="O42" s="268"/>
      <c r="R42" s="344"/>
      <c r="W42" s="61"/>
    </row>
    <row r="43" spans="1:23" ht="32.450000000000003" customHeight="1">
      <c r="A43" s="262" t="s">
        <v>86</v>
      </c>
      <c r="B43" s="271" t="s">
        <v>293</v>
      </c>
      <c r="C43" s="264" t="str">
        <f>VLOOKUP(Table4[[#This Row],[Rīcības kods]],Rīcibas_plans!$B$4:$D$234,3,FALSE)</f>
        <v>Rīgas iela no Daugavas ielas līdz Mežvidu ielai</v>
      </c>
      <c r="D43" s="265" t="str">
        <f>VLOOKUP($A43,'Pivot rīcības un objekti'!$A$4:$U$193,21,FALSE)</f>
        <v>Lietišķās atpūtas vietas izbūve. Apvienotā gājēju un veloc ceļa uzlabošana (zīmes, marķējums)</v>
      </c>
      <c r="E43" s="265">
        <f>VLOOKUP($A43,'Pivot rīcības un objekti'!$A$4:$U$193,E$9,FALSE)</f>
        <v>140</v>
      </c>
      <c r="F43" s="265">
        <f>VLOOKUP($A43,'Pivot rīcības un objekti'!$A$4:$U$193,F$9,FALSE)</f>
        <v>112</v>
      </c>
      <c r="G43" s="265">
        <f>VLOOKUP($A43,'Pivot rīcības un objekti'!$A$4:$U$193,G$9,FALSE)</f>
        <v>124</v>
      </c>
      <c r="H43" s="265">
        <f>VLOOKUP($A43,'Pivot rīcības un objekti'!$A$4:$U$193,H$9,FALSE)</f>
        <v>71</v>
      </c>
      <c r="I43" s="265">
        <f>VLOOKUP($A43,'Pivot rīcības un objekti'!$A$4:$U$192,I$9,FALSE)</f>
        <v>54</v>
      </c>
      <c r="J43" s="265">
        <f>VLOOKUP($A43,'Pivot rīcības un objekti'!$A$4:$U$192,J$9,FALSE)</f>
        <v>55</v>
      </c>
      <c r="K43" s="293">
        <f>VLOOKUP(Table4[[#This Row],[Rīcības kods]],'Pivot rīcības un objekti'!$A$4:$T$233,19,FALSE)</f>
        <v>92.666666666666671</v>
      </c>
      <c r="L43" s="265">
        <f>VLOOKUP(Table4[[#This Row],[Rīcības kods]],'Pivot rīcības un objekti'!$A$4:$F$232,6,FALSE)</f>
        <v>1</v>
      </c>
      <c r="M43" s="265">
        <f>VLOOKUP(Table4[[#This Row],[Rīcības kods]],'Pivot rīcības un objekti'!$A$4:$F$232,2,FALSE)</f>
        <v>11060</v>
      </c>
      <c r="N43" s="266">
        <f>Table4[[#This Row],[Izmaksas, EUR]]+N42</f>
        <v>1994845</v>
      </c>
      <c r="O43" s="335"/>
      <c r="R43" s="344"/>
    </row>
    <row r="44" spans="1:23" ht="42.6" customHeight="1">
      <c r="A44" s="262" t="s">
        <v>184</v>
      </c>
      <c r="B44" s="271" t="s">
        <v>324</v>
      </c>
      <c r="C44" s="264" t="str">
        <f>VLOOKUP(Table4[[#This Row],[Rīcības kods]],Rīcibas_plans!$B$4:$D$234,3,FALSE)</f>
        <v>Jauno ideju centrs, Skolas iela 2</v>
      </c>
      <c r="D44" s="265" t="str">
        <f>VLOOKUP($A44,'Pivot rīcības un objekti'!$A$4:$U$193,21,FALSE)</f>
        <v>Papildināt teritoriju ar lēzenu gājēju savienojumu (pandusu) ar Ķekavas parka teritorijas gājēju ceļiem, lietišķās atpūtas vieta (S tipa)</v>
      </c>
      <c r="E44" s="265">
        <f>VLOOKUP($A44,'Pivot rīcības un objekti'!$A$4:$U$193,E$9,FALSE)</f>
        <v>32</v>
      </c>
      <c r="F44" s="265">
        <f>VLOOKUP($A44,'Pivot rīcības un objekti'!$A$4:$U$193,F$9,FALSE)</f>
        <v>35</v>
      </c>
      <c r="G44" s="265">
        <f>VLOOKUP($A44,'Pivot rīcības un objekti'!$A$4:$U$193,G$9,FALSE)</f>
        <v>86</v>
      </c>
      <c r="H44" s="265">
        <f>VLOOKUP($A44,'Pivot rīcības un objekti'!$A$4:$U$193,H$9,FALSE)</f>
        <v>129</v>
      </c>
      <c r="I44" s="265">
        <f>VLOOKUP($A44,'Pivot rīcības un objekti'!$A$4:$U$192,I$9,FALSE)</f>
        <v>119</v>
      </c>
      <c r="J44" s="265">
        <f>VLOOKUP($A44,'Pivot rīcības un objekti'!$A$4:$U$192,J$9,FALSE)</f>
        <v>158</v>
      </c>
      <c r="K44" s="293">
        <f>VLOOKUP(Table4[[#This Row],[Rīcības kods]],'Pivot rīcības un objekti'!$A$4:$T$233,19,FALSE)</f>
        <v>93.166666666666671</v>
      </c>
      <c r="L44" s="265">
        <f>VLOOKUP(Table4[[#This Row],[Rīcības kods]],'Pivot rīcības un objekti'!$A$4:$F$232,6,FALSE)</f>
        <v>1</v>
      </c>
      <c r="M44" s="265">
        <f>VLOOKUP(Table4[[#This Row],[Rīcības kods]],'Pivot rīcības un objekti'!$A$4:$F$232,2,FALSE)</f>
        <v>495000</v>
      </c>
      <c r="N44" s="266">
        <f>Table4[[#This Row],[Izmaksas, EUR]]+N43</f>
        <v>2489845</v>
      </c>
      <c r="O44" s="268"/>
      <c r="R44" s="344"/>
    </row>
    <row r="45" spans="1:23" ht="42" customHeight="1">
      <c r="A45" s="262" t="s">
        <v>91</v>
      </c>
      <c r="B45" s="271" t="s">
        <v>293</v>
      </c>
      <c r="C45" s="264" t="str">
        <f>VLOOKUP(Table4[[#This Row],[Rīcības kods]],Rīcibas_plans!$B$4:$D$234,3,FALSE)</f>
        <v>Centrālais skvērs,
Daugavas iela 2, Baldone</v>
      </c>
      <c r="D45" s="265" t="str">
        <f>VLOOKUP($A45,'Pivot rīcības un objekti'!$A$4:$U$193,21,FALSE)</f>
        <v>Segumu atjaunošana. Lietišķās atpūtas vietas sakārtošana, papildināšana ar velonovietnēm, soliņiem</v>
      </c>
      <c r="E45" s="265">
        <f>VLOOKUP($A45,'Pivot rīcības un objekti'!$A$4:$U$193,E$9,FALSE)</f>
        <v>64</v>
      </c>
      <c r="F45" s="265">
        <f>VLOOKUP($A45,'Pivot rīcības un objekti'!$A$4:$U$193,F$9,FALSE)</f>
        <v>73</v>
      </c>
      <c r="G45" s="265">
        <f>VLOOKUP($A45,'Pivot rīcības un objekti'!$A$4:$U$193,G$9,FALSE)</f>
        <v>95</v>
      </c>
      <c r="H45" s="265">
        <f>VLOOKUP($A45,'Pivot rīcības un objekti'!$A$4:$U$193,H$9,FALSE)</f>
        <v>108</v>
      </c>
      <c r="I45" s="265">
        <f>VLOOKUP($A45,'Pivot rīcības un objekti'!$A$4:$U$192,I$9,FALSE)</f>
        <v>108</v>
      </c>
      <c r="J45" s="265">
        <f>VLOOKUP($A45,'Pivot rīcības un objekti'!$A$4:$U$192,J$9,FALSE)</f>
        <v>121</v>
      </c>
      <c r="K45" s="293">
        <f>VLOOKUP(Table4[[#This Row],[Rīcības kods]],'Pivot rīcības un objekti'!$A$4:$T$233,19,FALSE)</f>
        <v>94.833333333333329</v>
      </c>
      <c r="L45" s="265">
        <f>VLOOKUP(Table4[[#This Row],[Rīcības kods]],'Pivot rīcības un objekti'!$A$4:$F$232,6,FALSE)</f>
        <v>1</v>
      </c>
      <c r="M45" s="265">
        <f>VLOOKUP(Table4[[#This Row],[Rīcības kods]],'Pivot rīcības un objekti'!$A$4:$F$232,2,FALSE)</f>
        <v>125000</v>
      </c>
      <c r="N45" s="266">
        <f>Table4[[#This Row],[Izmaksas, EUR]]+N44</f>
        <v>2614845</v>
      </c>
      <c r="O45" s="268"/>
      <c r="R45" s="61"/>
    </row>
    <row r="46" spans="1:23" ht="30.6" customHeight="1">
      <c r="A46" s="262" t="s">
        <v>211</v>
      </c>
      <c r="B46" s="271" t="s">
        <v>326</v>
      </c>
      <c r="C46" s="264" t="str">
        <f>VLOOKUP(Table4[[#This Row],[Rīcības kods]],Rīcibas_plans!$B$4:$D$234,3,FALSE)</f>
        <v>Odukalnu ielas izbūve</v>
      </c>
      <c r="D46" s="265" t="str">
        <f>VLOOKUP($A46,'Pivot rīcības un objekti'!$A$4:$U$193,21,FALSE)</f>
        <v xml:space="preserve">Oduklana ielas izbūve ar gājēju un velo infrastruktūru. Lietišķās atpūtas vieta </v>
      </c>
      <c r="E46" s="265">
        <f>VLOOKUP($A46,'Pivot rīcības un objekti'!$A$4:$U$193,E$9,FALSE)</f>
        <v>134</v>
      </c>
      <c r="F46" s="265">
        <f>VLOOKUP($A46,'Pivot rīcības un objekti'!$A$4:$U$193,F$9,FALSE)</f>
        <v>84</v>
      </c>
      <c r="G46" s="265">
        <f>VLOOKUP($A46,'Pivot rīcības un objekti'!$A$4:$U$193,G$9,FALSE)</f>
        <v>85</v>
      </c>
      <c r="H46" s="265">
        <f>VLOOKUP($A46,'Pivot rīcības un objekti'!$A$4:$U$193,H$9,FALSE)</f>
        <v>114</v>
      </c>
      <c r="I46" s="265">
        <f>VLOOKUP($A46,'Pivot rīcības un objekti'!$A$4:$U$192,I$9,FALSE)</f>
        <v>92</v>
      </c>
      <c r="J46" s="265">
        <f>VLOOKUP($A46,'Pivot rīcības un objekti'!$A$4:$U$192,J$9,FALSE)</f>
        <v>96</v>
      </c>
      <c r="K46" s="293">
        <f>VLOOKUP(Table4[[#This Row],[Rīcības kods]],'Pivot rīcības un objekti'!$A$4:$T$233,19,FALSE)</f>
        <v>100.83333333333333</v>
      </c>
      <c r="L46" s="265">
        <f>VLOOKUP(Table4[[#This Row],[Rīcības kods]],'Pivot rīcības un objekti'!$A$4:$F$232,6,FALSE)</f>
        <v>1</v>
      </c>
      <c r="M46" s="265">
        <f>VLOOKUP(Table4[[#This Row],[Rīcības kods]],'Pivot rīcības un objekti'!$A$4:$F$232,2,FALSE)</f>
        <v>55000</v>
      </c>
      <c r="N46" s="266">
        <f>Table4[[#This Row],[Izmaksas, EUR]]+N45</f>
        <v>2669845</v>
      </c>
      <c r="O46" s="268"/>
    </row>
    <row r="47" spans="1:23" ht="60.6" customHeight="1">
      <c r="A47" s="262" t="s">
        <v>213</v>
      </c>
      <c r="B47" s="271" t="s">
        <v>324</v>
      </c>
      <c r="C47" s="264" t="str">
        <f>VLOOKUP(Table4[[#This Row],[Rīcības kods]],Rīcibas_plans!$B$4:$D$234,3,FALSE)</f>
        <v>Pašvaldības nozīmes koplietošanas ūdensnotekas 413241:P:1  tīrīšana posmā no Ķekavas kultūras nama līdz putnu fabrikai</v>
      </c>
      <c r="D47" s="265" t="str">
        <f>VLOOKUP($A47,'Pivot rīcības un objekti'!$A$4:$U$193,21,FALSE)</f>
        <v xml:space="preserve">Pašvaldības nozīmes koplietošanas ūdensnotekas 413241:P:1  tīrīšana posmā no  .  Ķekavas kultūras nama līdz putnu fabrikai. </v>
      </c>
      <c r="E47" s="265">
        <f>VLOOKUP($A47,'Pivot rīcības un objekti'!$A$4:$U$193,E$9,FALSE)</f>
        <v>40</v>
      </c>
      <c r="F47" s="265">
        <f>VLOOKUP($A47,'Pivot rīcības un objekti'!$A$4:$U$193,F$9,FALSE)</f>
        <v>155</v>
      </c>
      <c r="G47" s="265">
        <f>VLOOKUP($A47,'Pivot rīcības un objekti'!$A$4:$U$193,G$9,FALSE)</f>
        <v>194</v>
      </c>
      <c r="H47" s="265">
        <f>VLOOKUP($A47,'Pivot rīcības un objekti'!$A$4:$U$193,H$9,FALSE)</f>
        <v>22</v>
      </c>
      <c r="I47" s="265">
        <f>VLOOKUP($A47,'Pivot rīcības un objekti'!$A$4:$U$192,I$9,FALSE)</f>
        <v>84</v>
      </c>
      <c r="J47" s="265">
        <f>VLOOKUP($A47,'Pivot rīcības un objekti'!$A$4:$U$192,J$9,FALSE)</f>
        <v>115</v>
      </c>
      <c r="K47" s="293">
        <f>VLOOKUP(Table4[[#This Row],[Rīcības kods]],'Pivot rīcības un objekti'!$A$4:$T$233,19,FALSE)</f>
        <v>101.66666666666667</v>
      </c>
      <c r="L47" s="265">
        <f>VLOOKUP(Table4[[#This Row],[Rīcības kods]],'Pivot rīcības un objekti'!$A$4:$F$232,6,FALSE)</f>
        <v>1</v>
      </c>
      <c r="M47" s="265">
        <f>VLOOKUP(Table4[[#This Row],[Rīcības kods]],'Pivot rīcības un objekti'!$A$4:$F$232,2,FALSE)</f>
        <v>9000</v>
      </c>
      <c r="N47" s="266">
        <f>Table4[[#This Row],[Izmaksas, EUR]]+N46</f>
        <v>2678845</v>
      </c>
      <c r="O47" s="268"/>
    </row>
    <row r="48" spans="1:23" ht="54.6" customHeight="1">
      <c r="A48" s="262" t="s">
        <v>56</v>
      </c>
      <c r="B48" s="271" t="s">
        <v>323</v>
      </c>
      <c r="C48" s="264" t="str">
        <f>VLOOKUP(Table4[[#This Row],[Rīcības kods]],Rīcibas_plans!$B$4:$D$234,3,FALSE)</f>
        <v>Sabiedriskā transporta pieturas  "Sūkņu stacija" labiekārtojums pie zemes gabala Baložu ielā 4</v>
      </c>
      <c r="D48" s="265" t="str">
        <f>VLOOKUP($A48,'Pivot rīcības un objekti'!$A$4:$U$193,21,FALSE)</f>
        <v>Veikt pieturas pārbūvi, veidojot kā L tipa sabiedriskā transporta pieturu.</v>
      </c>
      <c r="E48" s="265">
        <f>VLOOKUP($A48,'Pivot rīcības un objekti'!$A$4:$U$193,E$9,FALSE)</f>
        <v>149</v>
      </c>
      <c r="F48" s="265">
        <f>VLOOKUP($A48,'Pivot rīcības un objekti'!$A$4:$U$193,F$9,FALSE)</f>
        <v>95</v>
      </c>
      <c r="G48" s="265">
        <f>VLOOKUP($A48,'Pivot rīcības un objekti'!$A$4:$U$193,G$9,FALSE)</f>
        <v>135</v>
      </c>
      <c r="H48" s="265">
        <f>VLOOKUP($A48,'Pivot rīcības un objekti'!$A$4:$U$193,H$9,FALSE)</f>
        <v>94</v>
      </c>
      <c r="I48" s="265">
        <f>VLOOKUP($A48,'Pivot rīcības un objekti'!$A$4:$U$192,I$9,FALSE)</f>
        <v>64</v>
      </c>
      <c r="J48" s="265">
        <f>VLOOKUP($A48,'Pivot rīcības un objekti'!$A$4:$U$192,J$9,FALSE)</f>
        <v>80</v>
      </c>
      <c r="K48" s="293">
        <f>VLOOKUP(Table4[[#This Row],[Rīcības kods]],'Pivot rīcības un objekti'!$A$4:$T$233,19,FALSE)</f>
        <v>102.83333333333333</v>
      </c>
      <c r="L48" s="265">
        <f>VLOOKUP(Table4[[#This Row],[Rīcības kods]],'Pivot rīcības un objekti'!$A$4:$F$232,6,FALSE)</f>
        <v>1</v>
      </c>
      <c r="M48" s="265">
        <f>VLOOKUP(Table4[[#This Row],[Rīcības kods]],'Pivot rīcības un objekti'!$A$4:$F$232,2,FALSE)</f>
        <v>14320</v>
      </c>
      <c r="N48" s="266">
        <f>Table4[[#This Row],[Izmaksas, EUR]]+N47</f>
        <v>2693165</v>
      </c>
      <c r="O48" s="269" t="s">
        <v>332</v>
      </c>
      <c r="P48" s="60"/>
    </row>
    <row r="49" spans="1:18" ht="42" customHeight="1">
      <c r="A49" s="262" t="s">
        <v>78</v>
      </c>
      <c r="B49" s="271" t="s">
        <v>323</v>
      </c>
      <c r="C49" s="264" t="str">
        <f>VLOOKUP(Table4[[#This Row],[Rīcības kods]],Rīcibas_plans!$B$4:$D$234,3,FALSE)</f>
        <v>Saulgriežu ielas gājēju un velosipēdistu infrastruktūra</v>
      </c>
      <c r="D49" s="265" t="str">
        <f>VLOOKUP($A49,'Pivot rīcības un objekti'!$A$4:$U$193,21,FALSE)</f>
        <v>Apgaismotas ietves izbūve Saulgriežu ielas visā garumā. Lietišķās atpūtas vietu izvietošana (S tips)</v>
      </c>
      <c r="E49" s="265">
        <f>VLOOKUP($A49,'Pivot rīcības un objekti'!$A$4:$U$193,E$9,FALSE)</f>
        <v>76</v>
      </c>
      <c r="F49" s="265">
        <f>VLOOKUP($A49,'Pivot rīcības un objekti'!$A$4:$U$193,F$9,FALSE)</f>
        <v>33</v>
      </c>
      <c r="G49" s="265">
        <f>VLOOKUP($A49,'Pivot rīcības un objekti'!$A$4:$U$193,G$9,FALSE)</f>
        <v>27</v>
      </c>
      <c r="H49" s="265">
        <f>VLOOKUP($A49,'Pivot rīcības un objekti'!$A$4:$U$193,H$9,FALSE)</f>
        <v>184</v>
      </c>
      <c r="I49" s="265">
        <f>VLOOKUP($A49,'Pivot rīcības un objekti'!$A$4:$U$192,I$9,FALSE)</f>
        <v>156</v>
      </c>
      <c r="J49" s="265">
        <f>VLOOKUP($A49,'Pivot rīcības un objekti'!$A$4:$U$192,J$9,FALSE)</f>
        <v>150</v>
      </c>
      <c r="K49" s="293">
        <f>VLOOKUP(Table4[[#This Row],[Rīcības kods]],'Pivot rīcības un objekti'!$A$4:$T$233,19,FALSE)</f>
        <v>104.33333333333333</v>
      </c>
      <c r="L49" s="265">
        <f>VLOOKUP(Table4[[#This Row],[Rīcības kods]],'Pivot rīcības un objekti'!$A$4:$F$232,6,FALSE)</f>
        <v>1</v>
      </c>
      <c r="M49" s="265">
        <f>VLOOKUP(Table4[[#This Row],[Rīcības kods]],'Pivot rīcības un objekti'!$A$4:$F$232,2,FALSE)</f>
        <v>2013000</v>
      </c>
      <c r="N49" s="266">
        <f>Table4[[#This Row],[Izmaksas, EUR]]+N48</f>
        <v>4706165</v>
      </c>
      <c r="O49" s="296"/>
      <c r="R49" s="61"/>
    </row>
    <row r="50" spans="1:18" ht="37.15" customHeight="1">
      <c r="A50" s="262" t="s">
        <v>83</v>
      </c>
      <c r="B50" s="271" t="s">
        <v>293</v>
      </c>
      <c r="C50" s="264" t="str">
        <f>VLOOKUP(Table4[[#This Row],[Rīcības kods]],Rīcibas_plans!$B$4:$D$234,3,FALSE)</f>
        <v>Esošs bērnu rotaļu laukums, 
Pārupes iela 3, Baldone</v>
      </c>
      <c r="D50" s="265" t="str">
        <f>VLOOKUP($A50,'Pivot rīcības un objekti'!$A$4:$U$193,21,FALSE)</f>
        <v>Atjaunot un papildināt rotaļu laukumu ar rotaļu elementiem</v>
      </c>
      <c r="E50" s="265">
        <f>VLOOKUP($A50,'Pivot rīcības un objekti'!$A$4:$U$193,E$9,FALSE)</f>
        <v>149</v>
      </c>
      <c r="F50" s="265">
        <f>VLOOKUP($A50,'Pivot rīcības un objekti'!$A$4:$U$193,F$9,FALSE)</f>
        <v>134</v>
      </c>
      <c r="G50" s="265">
        <f>VLOOKUP($A50,'Pivot rīcības un objekti'!$A$4:$U$193,G$9,FALSE)</f>
        <v>107</v>
      </c>
      <c r="H50" s="265">
        <f>VLOOKUP($A50,'Pivot rīcības un objekti'!$A$4:$U$193,H$9,FALSE)</f>
        <v>105</v>
      </c>
      <c r="I50" s="265">
        <f>VLOOKUP($A50,'Pivot rīcības un objekti'!$A$4:$U$192,I$9,FALSE)</f>
        <v>98</v>
      </c>
      <c r="J50" s="265">
        <f>VLOOKUP($A50,'Pivot rīcības un objekti'!$A$4:$U$192,J$9,FALSE)</f>
        <v>81</v>
      </c>
      <c r="K50" s="293">
        <f>VLOOKUP(Table4[[#This Row],[Rīcības kods]],'Pivot rīcības un objekti'!$A$4:$T$233,19,FALSE)</f>
        <v>112.33333333333333</v>
      </c>
      <c r="L50" s="265">
        <f>VLOOKUP(Table4[[#This Row],[Rīcības kods]],'Pivot rīcības un objekti'!$A$4:$F$232,6,FALSE)</f>
        <v>1</v>
      </c>
      <c r="M50" s="265">
        <f>VLOOKUP(Table4[[#This Row],[Rīcības kods]],'Pivot rīcības un objekti'!$A$4:$F$232,2,FALSE)</f>
        <v>25000</v>
      </c>
      <c r="N50" s="266">
        <f>Table4[[#This Row],[Izmaksas, EUR]]+N49</f>
        <v>4731165</v>
      </c>
      <c r="O50" s="268"/>
    </row>
    <row r="51" spans="1:18" ht="30.6" customHeight="1">
      <c r="A51" s="262" t="s">
        <v>201</v>
      </c>
      <c r="B51" s="271" t="s">
        <v>324</v>
      </c>
      <c r="C51" s="264" t="str">
        <f>VLOOKUP(Table4[[#This Row],[Rīcības kods]],Rīcibas_plans!$B$4:$D$234,3,FALSE)</f>
        <v>Ābeļdārzs, Skolas iela 1</v>
      </c>
      <c r="D51" s="265" t="str">
        <f>VLOOKUP($A51,'Pivot rīcības un objekti'!$A$4:$U$193,21,FALSE)</f>
        <v>Veikt skvēra rekonstrukciju, sakārtojot tā funkcionālo zonējumu - gājēju zona, lietisķās atpūtas vietas (L tipa), apstādījumu zona, vides objekts. Savienojumi (gājēju pārejas pāri Nākotnes ielai)</v>
      </c>
      <c r="E51" s="265">
        <f>VLOOKUP($A51,'Pivot rīcības un objekti'!$A$4:$U$193,E$9,FALSE)</f>
        <v>40</v>
      </c>
      <c r="F51" s="265">
        <f>VLOOKUP($A51,'Pivot rīcības un objekti'!$A$4:$U$193,F$9,FALSE)</f>
        <v>58</v>
      </c>
      <c r="G51" s="265">
        <f>VLOOKUP($A51,'Pivot rīcības un objekti'!$A$4:$U$193,G$9,FALSE)</f>
        <v>119</v>
      </c>
      <c r="H51" s="265">
        <f>VLOOKUP($A51,'Pivot rīcības un objekti'!$A$4:$U$193,H$9,FALSE)</f>
        <v>146</v>
      </c>
      <c r="I51" s="265">
        <f>VLOOKUP($A51,'Pivot rīcības un objekti'!$A$4:$U$192,I$9,FALSE)</f>
        <v>147</v>
      </c>
      <c r="J51" s="265">
        <f>VLOOKUP($A51,'Pivot rīcības un objekti'!$A$4:$U$192,J$9,FALSE)</f>
        <v>175</v>
      </c>
      <c r="K51" s="293">
        <f>VLOOKUP(Table4[[#This Row],[Rīcības kods]],'Pivot rīcības un objekti'!$A$4:$T$233,19,FALSE)</f>
        <v>114.16666666666667</v>
      </c>
      <c r="L51" s="265">
        <f>VLOOKUP(Table4[[#This Row],[Rīcības kods]],'Pivot rīcības un objekti'!$A$4:$F$232,6,FALSE)</f>
        <v>1</v>
      </c>
      <c r="M51" s="265">
        <f>VLOOKUP(Table4[[#This Row],[Rīcības kods]],'Pivot rīcības un objekti'!$A$4:$F$232,2,FALSE)</f>
        <v>650000</v>
      </c>
      <c r="N51" s="266">
        <f>Table4[[#This Row],[Izmaksas, EUR]]+N50</f>
        <v>5381165</v>
      </c>
      <c r="O51" s="267"/>
    </row>
    <row r="52" spans="1:18" ht="49.15" customHeight="1">
      <c r="A52" s="262" t="s">
        <v>80</v>
      </c>
      <c r="B52" s="271" t="s">
        <v>293</v>
      </c>
      <c r="C52" s="264" t="str">
        <f>VLOOKUP(Table4[[#This Row],[Rīcības kods]],Rīcibas_plans!$B$4:$D$234,3,FALSE)</f>
        <v>Baldones vidusskolas priekšlaukums pret Iecavas ielu,
Iecavas iela 2, Baldone</v>
      </c>
      <c r="D52" s="265" t="str">
        <f>VLOOKUP($A52,'Pivot rīcības un objekti'!$A$4:$U$193,21,FALSE)</f>
        <v>Teritorijas zaļās zonas papildināšana ar apstādījumiem.</v>
      </c>
      <c r="E52" s="265">
        <f>VLOOKUP($A52,'Pivot rīcības un objekti'!$A$4:$U$193,E$9,FALSE)</f>
        <v>93</v>
      </c>
      <c r="F52" s="265">
        <f>VLOOKUP($A52,'Pivot rīcības un objekti'!$A$4:$U$193,F$9,FALSE)</f>
        <v>77</v>
      </c>
      <c r="G52" s="265">
        <f>VLOOKUP($A52,'Pivot rīcības un objekti'!$A$4:$U$193,G$9,FALSE)</f>
        <v>204</v>
      </c>
      <c r="H52" s="265">
        <f>VLOOKUP($A52,'Pivot rīcības un objekti'!$A$4:$U$193,H$9,FALSE)</f>
        <v>85</v>
      </c>
      <c r="I52" s="265">
        <f>VLOOKUP($A52,'Pivot rīcības un objekti'!$A$4:$U$192,I$9,FALSE)</f>
        <v>70</v>
      </c>
      <c r="J52" s="265">
        <f>VLOOKUP($A52,'Pivot rīcības un objekti'!$A$4:$U$192,J$9,FALSE)</f>
        <v>169</v>
      </c>
      <c r="K52" s="293">
        <f>VLOOKUP(Table4[[#This Row],[Rīcības kods]],'Pivot rīcības un objekti'!$A$4:$T$233,19,FALSE)</f>
        <v>116.33333333333333</v>
      </c>
      <c r="L52" s="265">
        <f>VLOOKUP(Table4[[#This Row],[Rīcības kods]],'Pivot rīcības un objekti'!$A$4:$F$232,6,FALSE)</f>
        <v>1</v>
      </c>
      <c r="M52" s="265">
        <f>VLOOKUP(Table4[[#This Row],[Rīcības kods]],'Pivot rīcības un objekti'!$A$4:$F$232,2,FALSE)</f>
        <v>25000</v>
      </c>
      <c r="N52" s="266">
        <f>Table4[[#This Row],[Izmaksas, EUR]]+N51</f>
        <v>5406165</v>
      </c>
      <c r="O52" s="268"/>
    </row>
    <row r="53" spans="1:18" ht="37.15" customHeight="1">
      <c r="A53" s="262" t="s">
        <v>178</v>
      </c>
      <c r="B53" s="271" t="s">
        <v>324</v>
      </c>
      <c r="C53" s="264" t="str">
        <f>VLOOKUP(Table4[[#This Row],[Rīcības kods]],Rīcibas_plans!$B$4:$D$234,3,FALSE)</f>
        <v>Ķekavas upes atpūtas vieta "Dambītis"</v>
      </c>
      <c r="D53" s="265" t="str">
        <f>VLOOKUP($A53,'Pivot rīcības un objekti'!$A$4:$U$193,21,FALSE)</f>
        <v>Lietišķās atpūtas vietas labiekārtošana (L tipa). Jāplāno norādes un piekļuves uzlabošana.</v>
      </c>
      <c r="E53" s="265">
        <f>VLOOKUP($A53,'Pivot rīcības un objekti'!$A$4:$U$193,E$9,FALSE)</f>
        <v>91</v>
      </c>
      <c r="F53" s="265">
        <f>VLOOKUP($A53,'Pivot rīcības un objekti'!$A$4:$U$193,F$9,FALSE)</f>
        <v>194</v>
      </c>
      <c r="G53" s="265">
        <f>VLOOKUP($A53,'Pivot rīcības un objekti'!$A$4:$U$193,G$9,FALSE)</f>
        <v>172</v>
      </c>
      <c r="H53" s="265">
        <f>VLOOKUP($A53,'Pivot rīcības un objekti'!$A$4:$U$193,H$9,FALSE)</f>
        <v>39</v>
      </c>
      <c r="I53" s="265">
        <f>VLOOKUP($A53,'Pivot rīcības un objekti'!$A$4:$U$192,I$9,FALSE)</f>
        <v>117</v>
      </c>
      <c r="J53" s="265">
        <f>VLOOKUP($A53,'Pivot rīcības un objekti'!$A$4:$U$192,J$9,FALSE)</f>
        <v>91</v>
      </c>
      <c r="K53" s="293">
        <f>VLOOKUP(Table4[[#This Row],[Rīcības kods]],'Pivot rīcības un objekti'!$A$4:$T$233,19,FALSE)</f>
        <v>117.33333333333333</v>
      </c>
      <c r="L53" s="265">
        <f>VLOOKUP(Table4[[#This Row],[Rīcības kods]],'Pivot rīcības un objekti'!$A$4:$F$232,6,FALSE)</f>
        <v>1</v>
      </c>
      <c r="M53" s="265">
        <f>VLOOKUP(Table4[[#This Row],[Rīcības kods]],'Pivot rīcības un objekti'!$A$4:$F$232,2,FALSE)</f>
        <v>7160</v>
      </c>
      <c r="N53" s="266">
        <f>Table4[[#This Row],[Izmaksas, EUR]]+N52</f>
        <v>5413325</v>
      </c>
      <c r="O53" s="268"/>
    </row>
    <row r="54" spans="1:18" ht="50.45" customHeight="1">
      <c r="A54" s="262" t="s">
        <v>207</v>
      </c>
      <c r="B54" s="271" t="s">
        <v>328</v>
      </c>
      <c r="C54" s="264" t="str">
        <f>VLOOKUP(Table4[[#This Row],[Rīcības kods]],Rīcibas_plans!$B$4:$D$234,3,FALSE)</f>
        <v>Lietišķās atpūtas vietas gar A7 posmā no Krustkalniem līdz Odukalnam</v>
      </c>
      <c r="D54" s="265" t="str">
        <f>VLOOKUP($A54,'Pivot rīcības un objekti'!$A$4:$U$193,21,FALSE)</f>
        <v>Papildināt A7 šosejas malas ar lietišķās atpūtas vietām (s tipa)</v>
      </c>
      <c r="E54" s="265">
        <f>VLOOKUP($A54,'Pivot rīcības un objekti'!$A$4:$U$193,E$9,FALSE)</f>
        <v>149</v>
      </c>
      <c r="F54" s="265">
        <f>VLOOKUP($A54,'Pivot rīcības un objekti'!$A$4:$U$193,F$9,FALSE)</f>
        <v>121</v>
      </c>
      <c r="G54" s="265">
        <f>VLOOKUP($A54,'Pivot rīcības un objekti'!$A$4:$U$193,G$9,FALSE)</f>
        <v>152</v>
      </c>
      <c r="H54" s="265">
        <f>VLOOKUP($A54,'Pivot rīcības un objekti'!$A$4:$U$193,H$9,FALSE)</f>
        <v>102</v>
      </c>
      <c r="I54" s="265">
        <f>VLOOKUP($A54,'Pivot rīcības un objekti'!$A$4:$U$192,I$9,FALSE)</f>
        <v>76</v>
      </c>
      <c r="J54" s="265">
        <f>VLOOKUP($A54,'Pivot rīcības un objekti'!$A$4:$U$192,J$9,FALSE)</f>
        <v>102</v>
      </c>
      <c r="K54" s="293">
        <f>VLOOKUP(Table4[[#This Row],[Rīcības kods]],'Pivot rīcības un objekti'!$A$4:$T$233,19,FALSE)</f>
        <v>117</v>
      </c>
      <c r="L54" s="265">
        <f>VLOOKUP(Table4[[#This Row],[Rīcības kods]],'Pivot rīcības un objekti'!$A$4:$F$232,6,FALSE)</f>
        <v>1</v>
      </c>
      <c r="M54" s="265">
        <f>VLOOKUP(Table4[[#This Row],[Rīcības kods]],'Pivot rīcības un objekti'!$A$4:$F$232,2,FALSE)</f>
        <v>19355</v>
      </c>
      <c r="N54" s="266">
        <f>Table4[[#This Row],[Izmaksas, EUR]]+N53</f>
        <v>5432680</v>
      </c>
      <c r="O54" s="268"/>
    </row>
    <row r="55" spans="1:18" ht="43.9" customHeight="1">
      <c r="A55" s="262" t="s">
        <v>102</v>
      </c>
      <c r="B55" s="271" t="s">
        <v>293</v>
      </c>
      <c r="C55" s="264" t="str">
        <f>VLOOKUP(Table4[[#This Row],[Rīcības kods]],Rīcibas_plans!$B$4:$D$234,3,FALSE)</f>
        <v>Baldones kinoteātra (kultūras nama) pieguļošā teritorija,
Daugavas iela 2, Baldone</v>
      </c>
      <c r="D55" s="265" t="str">
        <f>VLOOKUP($A55,'Pivot rīcības un objekti'!$A$4:$U$193,21,FALSE)</f>
        <v>Segumu atjaunošana. Esošā piemiņas akmens pārcelšana uz Ceriņa parka teritoriju. Navigācijas norādes pie kinoteātra. Informācija par objektu "Kultūras nams"</v>
      </c>
      <c r="E55" s="265">
        <f>VLOOKUP($A55,'Pivot rīcības un objekti'!$A$4:$U$193,E$9,FALSE)</f>
        <v>64</v>
      </c>
      <c r="F55" s="265">
        <f>VLOOKUP($A55,'Pivot rīcības un objekti'!$A$4:$U$193,F$9,FALSE)</f>
        <v>116</v>
      </c>
      <c r="G55" s="265">
        <f>VLOOKUP($A55,'Pivot rīcības un objekti'!$A$4:$U$193,G$9,FALSE)</f>
        <v>189</v>
      </c>
      <c r="H55" s="265">
        <f>VLOOKUP($A55,'Pivot rīcības un objekti'!$A$4:$U$193,H$9,FALSE)</f>
        <v>85</v>
      </c>
      <c r="I55" s="265">
        <f>VLOOKUP($A55,'Pivot rīcības un objekti'!$A$4:$U$192,I$9,FALSE)</f>
        <v>103</v>
      </c>
      <c r="J55" s="265">
        <f>VLOOKUP($A55,'Pivot rīcības un objekti'!$A$4:$U$192,J$9,FALSE)</f>
        <v>159</v>
      </c>
      <c r="K55" s="293">
        <f>VLOOKUP(Table4[[#This Row],[Rīcības kods]],'Pivot rīcības un objekti'!$A$4:$T$233,19,FALSE)</f>
        <v>119.33333333333333</v>
      </c>
      <c r="L55" s="265">
        <f>VLOOKUP(Table4[[#This Row],[Rīcības kods]],'Pivot rīcības un objekti'!$A$4:$F$232,6,FALSE)</f>
        <v>1</v>
      </c>
      <c r="M55" s="265">
        <f>VLOOKUP(Table4[[#This Row],[Rīcības kods]],'Pivot rīcības un objekti'!$A$4:$F$232,2,FALSE)</f>
        <v>50000</v>
      </c>
      <c r="N55" s="266">
        <f>Table4[[#This Row],[Izmaksas, EUR]]+N54</f>
        <v>5482680</v>
      </c>
      <c r="O55" s="268"/>
    </row>
    <row r="56" spans="1:18" ht="35.450000000000003" customHeight="1">
      <c r="A56" s="262" t="s">
        <v>270</v>
      </c>
      <c r="B56" s="271" t="s">
        <v>328</v>
      </c>
      <c r="C56" s="264" t="str">
        <f>VLOOKUP(Table4[[#This Row],[Rīcības kods]],Rīcibas_plans!$B$4:$D$234,3,FALSE)</f>
        <v>Sauliešu pilskalns ar apmetni (2094), Katlakalns, Akmeņsalas iela 1.</v>
      </c>
      <c r="D56" s="265" t="e">
        <f>VLOOKUP($A56,'Pivot rīcības un objekti'!$A$4:$U$193,21,FALSE)</f>
        <v>#N/A</v>
      </c>
      <c r="E56" s="265" t="e">
        <f>VLOOKUP($A56,'Pivot rīcības un objekti'!$A$4:$U$193,E$9,FALSE)</f>
        <v>#N/A</v>
      </c>
      <c r="F56" s="265" t="e">
        <f>VLOOKUP($A56,'Pivot rīcības un objekti'!$A$4:$U$193,F$9,FALSE)</f>
        <v>#N/A</v>
      </c>
      <c r="G56" s="265" t="e">
        <f>VLOOKUP($A56,'Pivot rīcības un objekti'!$A$4:$U$193,G$9,FALSE)</f>
        <v>#N/A</v>
      </c>
      <c r="H56" s="265" t="e">
        <f>VLOOKUP($A56,'Pivot rīcības un objekti'!$A$4:$U$193,H$9,FALSE)</f>
        <v>#N/A</v>
      </c>
      <c r="I56" s="265" t="e">
        <f>VLOOKUP($A56,'Pivot rīcības un objekti'!$A$4:$U$192,I$9,FALSE)</f>
        <v>#N/A</v>
      </c>
      <c r="J56" s="265" t="e">
        <f>VLOOKUP($A56,'Pivot rīcības un objekti'!$A$4:$U$192,J$9,FALSE)</f>
        <v>#N/A</v>
      </c>
      <c r="K56" s="293">
        <f>VLOOKUP(Table4[[#This Row],[Rīcības kods]],'Pivot rīcības un objekti'!$A$4:$T$233,19,FALSE)</f>
        <v>128.33333333333334</v>
      </c>
      <c r="L56" s="265">
        <f>VLOOKUP(Table4[[#This Row],[Rīcības kods]],'Pivot rīcības un objekti'!$A$4:$F$232,6,FALSE)</f>
        <v>1</v>
      </c>
      <c r="M56" s="265">
        <f>VLOOKUP(Table4[[#This Row],[Rīcības kods]],'Pivot rīcības un objekti'!$A$4:$F$232,2,FALSE)</f>
        <v>90</v>
      </c>
      <c r="N56" s="266">
        <f>Table4[[#This Row],[Izmaksas, EUR]]+N55</f>
        <v>5482770</v>
      </c>
      <c r="O56" s="268"/>
    </row>
    <row r="57" spans="1:18" ht="30" customHeight="1">
      <c r="A57" s="262" t="s">
        <v>214</v>
      </c>
      <c r="B57" s="271" t="s">
        <v>328</v>
      </c>
      <c r="C57" s="264" t="str">
        <f>VLOOKUP(Table4[[#This Row],[Rīcības kods]],Rīcibas_plans!$B$4:$D$234,3,FALSE)</f>
        <v>Naudītes ielas lietišķā infrastruktūra</v>
      </c>
      <c r="D57" s="265" t="str">
        <f>VLOOKUP($A57,'Pivot rīcības un objekti'!$A$4:$U$193,21,FALSE)</f>
        <v xml:space="preserve">Apgaismojuma ierīkošana, gājēju ietves izbūve. Lietišķās atpūtas vietas (S tips). </v>
      </c>
      <c r="E57" s="265">
        <f>VLOOKUP($A57,'Pivot rīcības un objekti'!$A$4:$U$193,E$9,FALSE)</f>
        <v>178</v>
      </c>
      <c r="F57" s="265">
        <f>VLOOKUP($A57,'Pivot rīcības un objekti'!$A$4:$U$193,F$9,FALSE)</f>
        <v>155</v>
      </c>
      <c r="G57" s="265">
        <f>VLOOKUP($A57,'Pivot rīcības un objekti'!$A$4:$U$193,G$9,FALSE)</f>
        <v>172</v>
      </c>
      <c r="H57" s="265">
        <f>VLOOKUP($A57,'Pivot rīcības un objekti'!$A$4:$U$193,H$9,FALSE)</f>
        <v>91</v>
      </c>
      <c r="I57" s="265">
        <f>VLOOKUP($A57,'Pivot rīcības un objekti'!$A$4:$U$192,I$9,FALSE)</f>
        <v>79</v>
      </c>
      <c r="J57" s="265">
        <f>VLOOKUP($A57,'Pivot rīcības un objekti'!$A$4:$U$192,J$9,FALSE)</f>
        <v>98</v>
      </c>
      <c r="K57" s="293">
        <f>VLOOKUP(Table4[[#This Row],[Rīcības kods]],'Pivot rīcības un objekti'!$A$4:$T$233,19,FALSE)</f>
        <v>128.83333333333334</v>
      </c>
      <c r="L57" s="265">
        <f>VLOOKUP(Table4[[#This Row],[Rīcības kods]],'Pivot rīcības un objekti'!$A$4:$F$232,6,FALSE)</f>
        <v>1</v>
      </c>
      <c r="M57" s="265">
        <f>VLOOKUP(Table4[[#This Row],[Rīcības kods]],'Pivot rīcības un objekti'!$A$4:$F$232,2,FALSE)</f>
        <v>8295</v>
      </c>
      <c r="N57" s="266">
        <f>Table4[[#This Row],[Izmaksas, EUR]]+N56</f>
        <v>5491065</v>
      </c>
      <c r="O57" s="268"/>
    </row>
    <row r="58" spans="1:18" ht="24.6" customHeight="1">
      <c r="A58" s="262" t="s">
        <v>61</v>
      </c>
      <c r="B58" s="271" t="s">
        <v>330</v>
      </c>
      <c r="C58" s="264" t="str">
        <f>VLOOKUP(Table4[[#This Row],[Rīcības kods]],Rīcibas_plans!$B$4:$D$234,3,FALSE)</f>
        <v xml:space="preserve">Meža ielas pārbūve.  </v>
      </c>
      <c r="D58" s="265" t="str">
        <f>VLOOKUP($A58,'Pivot rīcības un objekti'!$A$4:$U$193,21,FALSE)</f>
        <v>Meža ielas gar grāvi pārbūve posmā no Silāju ielas līdz Titurgas ezeram</v>
      </c>
      <c r="E58" s="265">
        <f>VLOOKUP($A58,'Pivot rīcības un objekti'!$A$4:$U$193,E$9,FALSE)</f>
        <v>149</v>
      </c>
      <c r="F58" s="265">
        <f>VLOOKUP($A58,'Pivot rīcības un objekti'!$A$4:$U$193,F$9,FALSE)</f>
        <v>134</v>
      </c>
      <c r="G58" s="265">
        <f>VLOOKUP($A58,'Pivot rīcības un objekti'!$A$4:$U$193,G$9,FALSE)</f>
        <v>135</v>
      </c>
      <c r="H58" s="265">
        <f>VLOOKUP($A58,'Pivot rīcības un objekti'!$A$4:$U$193,H$9,FALSE)</f>
        <v>124</v>
      </c>
      <c r="I58" s="265">
        <f>VLOOKUP($A58,'Pivot rīcības un objekti'!$A$4:$U$192,I$9,FALSE)</f>
        <v>116</v>
      </c>
      <c r="J58" s="265">
        <f>VLOOKUP($A58,'Pivot rīcības un objekti'!$A$4:$U$192,J$9,FALSE)</f>
        <v>119</v>
      </c>
      <c r="K58" s="293">
        <f>VLOOKUP(Table4[[#This Row],[Rīcības kods]],'Pivot rīcības un objekti'!$A$4:$T$233,19,FALSE)</f>
        <v>129.5</v>
      </c>
      <c r="L58" s="265">
        <f>VLOOKUP(Table4[[#This Row],[Rīcības kods]],'Pivot rīcības un objekti'!$A$4:$F$232,6,FALSE)</f>
        <v>1</v>
      </c>
      <c r="M58" s="265">
        <f>VLOOKUP(Table4[[#This Row],[Rīcības kods]],'Pivot rīcības un objekti'!$A$4:$F$232,2,FALSE)</f>
        <v>55000</v>
      </c>
      <c r="N58" s="266">
        <f>Table4[[#This Row],[Izmaksas, EUR]]+N57</f>
        <v>5546065</v>
      </c>
      <c r="O58" s="268"/>
    </row>
    <row r="59" spans="1:18" ht="56.45" customHeight="1">
      <c r="A59" s="262" t="s">
        <v>121</v>
      </c>
      <c r="B59" s="271" t="s">
        <v>329</v>
      </c>
      <c r="C59" s="264" t="str">
        <f>VLOOKUP(Table4[[#This Row],[Rīcības kods]],Rīcibas_plans!$B$4:$D$234,3,FALSE)</f>
        <v>Sabiedriskā transporta pietura "Kalniņi" uz autoceļa P85 (Rīgas HES - Jaujelgava) pie zemes gabala "Ziedkalniņi", Daugmale</v>
      </c>
      <c r="D59" s="265" t="str">
        <f>VLOOKUP($A59,'Pivot rīcības un objekti'!$A$4:$U$193,21,FALSE)</f>
        <v>Veikt pieturas pārbūvi, veidojot  M tipa sabiedriskā transporta pieturu.</v>
      </c>
      <c r="E59" s="265">
        <f>VLOOKUP($A59,'Pivot rīcības un objekti'!$A$4:$U$193,E$9,FALSE)</f>
        <v>184</v>
      </c>
      <c r="F59" s="265">
        <f>VLOOKUP($A59,'Pivot rīcības un objekti'!$A$4:$U$193,F$9,FALSE)</f>
        <v>165</v>
      </c>
      <c r="G59" s="265">
        <f>VLOOKUP($A59,'Pivot rīcības un objekti'!$A$4:$U$193,G$9,FALSE)</f>
        <v>172</v>
      </c>
      <c r="H59" s="265">
        <f>VLOOKUP($A59,'Pivot rīcības un objekti'!$A$4:$U$193,H$9,FALSE)</f>
        <v>90</v>
      </c>
      <c r="I59" s="265">
        <f>VLOOKUP($A59,'Pivot rīcības un objekti'!$A$4:$U$192,I$9,FALSE)</f>
        <v>86</v>
      </c>
      <c r="J59" s="265">
        <f>VLOOKUP($A59,'Pivot rīcības un objekti'!$A$4:$U$192,J$9,FALSE)</f>
        <v>85</v>
      </c>
      <c r="K59" s="293">
        <f>VLOOKUP(Table4[[#This Row],[Rīcības kods]],'Pivot rīcības un objekti'!$A$4:$T$233,19,FALSE)</f>
        <v>130.33333333333334</v>
      </c>
      <c r="L59" s="265">
        <f>VLOOKUP(Table4[[#This Row],[Rīcības kods]],'Pivot rīcības un objekti'!$A$4:$F$232,6,FALSE)</f>
        <v>1</v>
      </c>
      <c r="M59" s="265">
        <f>VLOOKUP(Table4[[#This Row],[Rīcības kods]],'Pivot rīcības un objekti'!$A$4:$F$232,2,FALSE)</f>
        <v>6300</v>
      </c>
      <c r="N59" s="266">
        <f>Table4[[#This Row],[Izmaksas, EUR]]+N58</f>
        <v>5552365</v>
      </c>
      <c r="O59" s="268"/>
    </row>
    <row r="60" spans="1:18" ht="51" customHeight="1">
      <c r="A60" s="262" t="s">
        <v>146</v>
      </c>
      <c r="B60" s="271" t="s">
        <v>329</v>
      </c>
      <c r="C60" s="264" t="str">
        <f>VLOOKUP(Table4[[#This Row],[Rīcības kods]],Rīcibas_plans!$B$4:$D$234,3,FALSE)</f>
        <v>Sabiedriskā transporta pietura "Skola" Kalniņu virziens uz autoceļa P85 (Rīgas HES - Jaunjelgava)</v>
      </c>
      <c r="D60" s="265" t="str">
        <f>VLOOKUP($A60,'Pivot rīcības un objekti'!$A$4:$U$193,21,FALSE)</f>
        <v xml:space="preserve">S tipa pieturvieta </v>
      </c>
      <c r="E60" s="265">
        <f>VLOOKUP($A60,'Pivot rīcības un objekti'!$A$4:$U$193,E$9,FALSE)</f>
        <v>186</v>
      </c>
      <c r="F60" s="265">
        <f>VLOOKUP($A60,'Pivot rīcības un objekti'!$A$4:$U$193,F$9,FALSE)</f>
        <v>180</v>
      </c>
      <c r="G60" s="265">
        <f>VLOOKUP($A60,'Pivot rīcības un objekti'!$A$4:$U$193,G$9,FALSE)</f>
        <v>184</v>
      </c>
      <c r="H60" s="265">
        <f>VLOOKUP($A60,'Pivot rīcības un objekti'!$A$4:$U$193,H$9,FALSE)</f>
        <v>80</v>
      </c>
      <c r="I60" s="265">
        <f>VLOOKUP($A60,'Pivot rīcības un objekti'!$A$4:$U$192,I$9,FALSE)</f>
        <v>77</v>
      </c>
      <c r="J60" s="265">
        <f>VLOOKUP($A60,'Pivot rīcības un objekti'!$A$4:$U$192,J$9,FALSE)</f>
        <v>79</v>
      </c>
      <c r="K60" s="293">
        <f>VLOOKUP(Table4[[#This Row],[Rīcības kods]],'Pivot rīcības un objekti'!$A$4:$T$233,19,FALSE)</f>
        <v>131</v>
      </c>
      <c r="L60" s="265">
        <f>VLOOKUP(Table4[[#This Row],[Rīcības kods]],'Pivot rīcības un objekti'!$A$4:$F$232,6,FALSE)</f>
        <v>1</v>
      </c>
      <c r="M60" s="266">
        <f>VLOOKUP(Table4[[#This Row],[Rīcības kods]],'Pivot rīcības un objekti'!$A$4:$F$232,2,FALSE)</f>
        <v>4295</v>
      </c>
      <c r="N60" s="266">
        <f>Table4[[#This Row],[Izmaksas, EUR]]+N59</f>
        <v>5556660</v>
      </c>
      <c r="O60" s="268"/>
    </row>
    <row r="61" spans="1:18" ht="42">
      <c r="A61" s="262" t="s">
        <v>128</v>
      </c>
      <c r="B61" s="271" t="s">
        <v>308</v>
      </c>
      <c r="C61" s="264" t="str">
        <f>VLOOKUP(Table4[[#This Row],[Rīcības kods]],Rīcibas_plans!$B$4:$D$234,3,FALSE)</f>
        <v>Sabiedriskā transporta pietura "Lejas ezers" uz autoceļa V9 (Iecava - Baldone - Daugmale)</v>
      </c>
      <c r="D61" s="265" t="str">
        <f>VLOOKUP($A61,'Pivot rīcības un objekti'!$A$4:$U$193,21,FALSE)</f>
        <v>Uzlabot pieturas labiekārtojumu.</v>
      </c>
      <c r="E61" s="265">
        <f>VLOOKUP($A61,'Pivot rīcības un objekti'!$A$4:$U$193,E$9,FALSE)</f>
        <v>186</v>
      </c>
      <c r="F61" s="265">
        <f>VLOOKUP($A61,'Pivot rīcības un objekti'!$A$4:$U$193,F$9,FALSE)</f>
        <v>165</v>
      </c>
      <c r="G61" s="265">
        <f>VLOOKUP($A61,'Pivot rīcības un objekti'!$A$4:$U$193,G$9,FALSE)</f>
        <v>172</v>
      </c>
      <c r="H61" s="265">
        <f>VLOOKUP($A61,'Pivot rīcības un objekti'!$A$4:$U$193,H$9,FALSE)</f>
        <v>97</v>
      </c>
      <c r="I61" s="265">
        <f>VLOOKUP($A61,'Pivot rīcības un objekti'!$A$4:$U$192,I$9,FALSE)</f>
        <v>86</v>
      </c>
      <c r="J61" s="265">
        <f>VLOOKUP($A61,'Pivot rīcības un objekti'!$A$4:$U$192,J$9,FALSE)</f>
        <v>85</v>
      </c>
      <c r="K61" s="293">
        <f>VLOOKUP(Table4[[#This Row],[Rīcības kods]],'Pivot rīcības un objekti'!$A$4:$T$233,19,FALSE)</f>
        <v>131.83333333333334</v>
      </c>
      <c r="L61" s="265">
        <f>VLOOKUP(Table4[[#This Row],[Rīcības kods]],'Pivot rīcības un objekti'!$A$4:$F$232,6,FALSE)</f>
        <v>1</v>
      </c>
      <c r="M61" s="265">
        <f>VLOOKUP(Table4[[#This Row],[Rīcības kods]],'Pivot rīcības un objekti'!$A$4:$F$232,2,FALSE)</f>
        <v>6300</v>
      </c>
      <c r="N61" s="266">
        <f>Table4[[#This Row],[Izmaksas, EUR]]+N60</f>
        <v>5562960</v>
      </c>
      <c r="O61" s="267"/>
    </row>
    <row r="62" spans="1:18" ht="35.450000000000003" customHeight="1">
      <c r="A62" s="262" t="s">
        <v>162</v>
      </c>
      <c r="B62" s="271" t="s">
        <v>331</v>
      </c>
      <c r="C62" s="264" t="str">
        <f>VLOOKUP(Table4[[#This Row],[Rīcības kods]],Rīcibas_plans!$B$4:$D$234,3,FALSE)</f>
        <v xml:space="preserve">Laivošanas maršruts pa Misas upi no A7 līdz Plakanciemam  </v>
      </c>
      <c r="D62" s="265" t="str">
        <f>VLOOKUP($A62,'Pivot rīcības un objekti'!$A$4:$U$193,21,FALSE)</f>
        <v>Laivošanas maršruta izveide. Tīrīšana un uzturēšana</v>
      </c>
      <c r="E62" s="265">
        <f>VLOOKUP($A62,'Pivot rīcības un objekti'!$A$4:$U$193,E$9,FALSE)</f>
        <v>149</v>
      </c>
      <c r="F62" s="265">
        <f>VLOOKUP($A62,'Pivot rīcības un objekti'!$A$4:$U$193,F$9,FALSE)</f>
        <v>196</v>
      </c>
      <c r="G62" s="265">
        <f>VLOOKUP($A62,'Pivot rīcības un objekti'!$A$4:$U$193,G$9,FALSE)</f>
        <v>155</v>
      </c>
      <c r="H62" s="265">
        <f>VLOOKUP($A62,'Pivot rīcības un objekti'!$A$4:$U$193,H$9,FALSE)</f>
        <v>75</v>
      </c>
      <c r="I62" s="265">
        <f>VLOOKUP($A62,'Pivot rīcības un objekti'!$A$4:$U$192,I$9,FALSE)</f>
        <v>135</v>
      </c>
      <c r="J62" s="265">
        <f>VLOOKUP($A62,'Pivot rīcības un objekti'!$A$4:$U$192,J$9,FALSE)</f>
        <v>81</v>
      </c>
      <c r="K62" s="293">
        <f>VLOOKUP(Table4[[#This Row],[Rīcības kods]],'Pivot rīcības un objekti'!$A$4:$T$233,19,FALSE)</f>
        <v>131.83333333333334</v>
      </c>
      <c r="L62" s="265">
        <f>VLOOKUP(Table4[[#This Row],[Rīcības kods]],'Pivot rīcības un objekti'!$A$4:$F$232,6,FALSE)</f>
        <v>1</v>
      </c>
      <c r="M62" s="266">
        <f>VLOOKUP(Table4[[#This Row],[Rīcības kods]],'Pivot rīcības un objekti'!$A$4:$F$232,2,FALSE)</f>
        <v>10000</v>
      </c>
      <c r="N62" s="266">
        <f>Table4[[#This Row],[Izmaksas, EUR]]+N61</f>
        <v>5572960</v>
      </c>
      <c r="O62" s="268"/>
    </row>
    <row r="63" spans="1:18" ht="35.450000000000003" customHeight="1">
      <c r="A63" s="262" t="s">
        <v>155</v>
      </c>
      <c r="B63" s="271" t="s">
        <v>329</v>
      </c>
      <c r="C63" s="264" t="str">
        <f>VLOOKUP(Table4[[#This Row],[Rīcības kods]],Rīcibas_plans!$B$4:$D$234,3,FALSE)</f>
        <v>Daugmales pamatskola, "Skola", Daugmale</v>
      </c>
      <c r="D63" s="265" t="str">
        <f>VLOOKUP($A63,'Pivot rīcības un objekti'!$A$4:$U$193,21,FALSE)</f>
        <v>Velosipēdu zonas palielināšana. Aktīvās atpūtas zonas labiekārtojuma uzlabošana.</v>
      </c>
      <c r="E63" s="265">
        <f>VLOOKUP($A63,'Pivot rīcības un objekti'!$A$4:$U$193,E$9,FALSE)</f>
        <v>149</v>
      </c>
      <c r="F63" s="265">
        <f>VLOOKUP($A63,'Pivot rīcības un objekti'!$A$4:$U$193,F$9,FALSE)</f>
        <v>95</v>
      </c>
      <c r="G63" s="265">
        <f>VLOOKUP($A63,'Pivot rīcības un objekti'!$A$4:$U$193,G$9,FALSE)</f>
        <v>107</v>
      </c>
      <c r="H63" s="265">
        <f>VLOOKUP($A63,'Pivot rīcības un objekti'!$A$4:$U$193,H$9,FALSE)</f>
        <v>164</v>
      </c>
      <c r="I63" s="265">
        <f>VLOOKUP($A63,'Pivot rīcības un objekti'!$A$4:$U$192,I$9,FALSE)</f>
        <v>135</v>
      </c>
      <c r="J63" s="265">
        <f>VLOOKUP($A63,'Pivot rīcības un objekti'!$A$4:$U$192,J$9,FALSE)</f>
        <v>145</v>
      </c>
      <c r="K63" s="293">
        <f>VLOOKUP(Table4[[#This Row],[Rīcības kods]],'Pivot rīcības un objekti'!$A$4:$T$233,19,FALSE)</f>
        <v>132.5</v>
      </c>
      <c r="L63" s="265">
        <f>VLOOKUP(Table4[[#This Row],[Rīcības kods]],'Pivot rīcības un objekti'!$A$4:$F$232,6,FALSE)</f>
        <v>1</v>
      </c>
      <c r="M63" s="265">
        <f>VLOOKUP(Table4[[#This Row],[Rīcības kods]],'Pivot rīcības un objekti'!$A$4:$F$232,2,FALSE)</f>
        <v>200000</v>
      </c>
      <c r="N63" s="266">
        <f>Table4[[#This Row],[Izmaksas, EUR]]+N62</f>
        <v>5772960</v>
      </c>
      <c r="O63" s="267"/>
    </row>
    <row r="64" spans="1:18" ht="34.9" customHeight="1">
      <c r="A64" s="262" t="s">
        <v>133</v>
      </c>
      <c r="B64" s="271" t="s">
        <v>308</v>
      </c>
      <c r="C64" s="264" t="str">
        <f>VLOOKUP(Table4[[#This Row],[Rīcības kods]],Rīcibas_plans!$B$4:$D$234,3,FALSE)</f>
        <v>Veloceļš Dzintari - Bēģļu ceļš</v>
      </c>
      <c r="D64" s="265" t="str">
        <f>VLOOKUP($A64,'Pivot rīcības un objekti'!$A$4:$U$193,21,FALSE)</f>
        <v>Nepieciešamība savienot Daugmales apkaimes infrastruktūru un nodrošināt drošu iedzīvotāju pārvietošanos pa reģionālās nozīmes autoceļu</v>
      </c>
      <c r="E64" s="265">
        <f>VLOOKUP($A64,'Pivot rīcības un objekti'!$A$4:$U$193,E$9,FALSE)</f>
        <v>134</v>
      </c>
      <c r="F64" s="265">
        <f>VLOOKUP($A64,'Pivot rīcības un objekti'!$A$4:$U$193,F$9,FALSE)</f>
        <v>128</v>
      </c>
      <c r="G64" s="265">
        <f>VLOOKUP($A64,'Pivot rīcības un objekti'!$A$4:$U$193,G$9,FALSE)</f>
        <v>63</v>
      </c>
      <c r="H64" s="265">
        <f>VLOOKUP($A64,'Pivot rīcības un objekti'!$A$4:$U$193,H$9,FALSE)</f>
        <v>176</v>
      </c>
      <c r="I64" s="265">
        <f>VLOOKUP($A64,'Pivot rīcības un objekti'!$A$4:$U$192,I$9,FALSE)</f>
        <v>163</v>
      </c>
      <c r="J64" s="265">
        <f>VLOOKUP($A64,'Pivot rīcības un objekti'!$A$4:$U$192,J$9,FALSE)</f>
        <v>142</v>
      </c>
      <c r="K64" s="293">
        <f>VLOOKUP(Table4[[#This Row],[Rīcības kods]],'Pivot rīcības un objekti'!$A$4:$T$233,19,FALSE)</f>
        <v>134.33333333333334</v>
      </c>
      <c r="L64" s="265">
        <f>VLOOKUP(Table4[[#This Row],[Rīcības kods]],'Pivot rīcības un objekti'!$A$4:$F$232,6,FALSE)</f>
        <v>1</v>
      </c>
      <c r="M64" s="266">
        <f>VLOOKUP(Table4[[#This Row],[Rīcības kods]],'Pivot rīcības un objekti'!$A$4:$F$232,2,FALSE)</f>
        <v>420000</v>
      </c>
      <c r="N64" s="266">
        <f>Table4[[#This Row],[Izmaksas, EUR]]+N63</f>
        <v>6192960</v>
      </c>
      <c r="O64" s="268"/>
      <c r="P64" s="60"/>
    </row>
    <row r="65" spans="1:16" ht="24" customHeight="1">
      <c r="A65" s="262" t="s">
        <v>88</v>
      </c>
      <c r="B65" s="271" t="s">
        <v>293</v>
      </c>
      <c r="C65" s="264" t="str">
        <f>VLOOKUP(Table4[[#This Row],[Rīcības kods]],Rīcibas_plans!$B$4:$D$234,3,FALSE)</f>
        <v>Zīļu iela</v>
      </c>
      <c r="D65" s="265" t="str">
        <f>VLOOKUP($A65,'Pivot rīcības un objekti'!$A$4:$U$193,21,FALSE)</f>
        <v>Lietišķās atpūtas vietas izbūve</v>
      </c>
      <c r="E65" s="265">
        <f>VLOOKUP($A65,'Pivot rīcības un objekti'!$A$4:$U$193,E$9,FALSE)</f>
        <v>186</v>
      </c>
      <c r="F65" s="265">
        <f>VLOOKUP($A65,'Pivot rīcības un objekti'!$A$4:$U$193,F$9,FALSE)</f>
        <v>165</v>
      </c>
      <c r="G65" s="265">
        <f>VLOOKUP($A65,'Pivot rīcības un objekti'!$A$4:$U$193,G$9,FALSE)</f>
        <v>200</v>
      </c>
      <c r="H65" s="265">
        <f>VLOOKUP($A65,'Pivot rīcības un objekti'!$A$4:$U$193,H$9,FALSE)</f>
        <v>91</v>
      </c>
      <c r="I65" s="265">
        <f>VLOOKUP($A65,'Pivot rīcības un objekti'!$A$4:$U$192,I$9,FALSE)</f>
        <v>79</v>
      </c>
      <c r="J65" s="265">
        <f>VLOOKUP($A65,'Pivot rīcības un objekti'!$A$4:$U$192,J$9,FALSE)</f>
        <v>114</v>
      </c>
      <c r="K65" s="293">
        <f>VLOOKUP(Table4[[#This Row],[Rīcības kods]],'Pivot rīcības un objekti'!$A$4:$T$233,19,FALSE)</f>
        <v>139.16666666666666</v>
      </c>
      <c r="L65" s="265">
        <f>VLOOKUP(Table4[[#This Row],[Rīcības kods]],'Pivot rīcības un objekti'!$A$4:$F$232,6,FALSE)</f>
        <v>1</v>
      </c>
      <c r="M65" s="265">
        <f>VLOOKUP(Table4[[#This Row],[Rīcības kods]],'Pivot rīcības un objekti'!$A$4:$F$232,2,FALSE)</f>
        <v>5530</v>
      </c>
      <c r="N65" s="266">
        <f>Table4[[#This Row],[Izmaksas, EUR]]+N64</f>
        <v>6198490</v>
      </c>
      <c r="O65" s="268"/>
    </row>
    <row r="66" spans="1:16" ht="42">
      <c r="A66" s="262" t="s">
        <v>144</v>
      </c>
      <c r="B66" s="271" t="s">
        <v>308</v>
      </c>
      <c r="C66" s="264" t="str">
        <f>VLOOKUP(Table4[[#This Row],[Rīcības kods]],Rīcibas_plans!$B$4:$D$234,3,FALSE)</f>
        <v>Sabiedriskā transporta pietura "Skola" Rīgas virziens uz autoceļa P85 (Rīgas HES - Jaunjelgava)</v>
      </c>
      <c r="D66" s="265" t="str">
        <f>VLOOKUP($A66,'Pivot rīcības un objekti'!$A$4:$U$193,21,FALSE)</f>
        <v>M tipa pietura Rīgas virzienā ir izveidota</v>
      </c>
      <c r="E66" s="265">
        <f>VLOOKUP($A66,'Pivot rīcības un objekti'!$A$4:$U$193,E$9,FALSE)</f>
        <v>186</v>
      </c>
      <c r="F66" s="265">
        <f>VLOOKUP($A66,'Pivot rīcības un objekti'!$A$4:$U$193,F$9,FALSE)</f>
        <v>180</v>
      </c>
      <c r="G66" s="265">
        <f>VLOOKUP($A66,'Pivot rīcības un objekti'!$A$4:$U$193,G$9,FALSE)</f>
        <v>184</v>
      </c>
      <c r="H66" s="265">
        <f>VLOOKUP($A66,'Pivot rīcības un objekti'!$A$4:$U$193,H$9,FALSE)</f>
        <v>101</v>
      </c>
      <c r="I66" s="265">
        <f>VLOOKUP($A66,'Pivot rīcības un objekti'!$A$4:$U$192,I$9,FALSE)</f>
        <v>94</v>
      </c>
      <c r="J66" s="265">
        <f>VLOOKUP($A66,'Pivot rīcības un objekti'!$A$4:$U$192,J$9,FALSE)</f>
        <v>99</v>
      </c>
      <c r="K66" s="293">
        <f>VLOOKUP(Table4[[#This Row],[Rīcības kods]],'Pivot rīcības un objekti'!$A$4:$T$233,19,FALSE)</f>
        <v>140.66666666666666</v>
      </c>
      <c r="L66" s="265">
        <f>VLOOKUP(Table4[[#This Row],[Rīcības kods]],'Pivot rīcības un objekti'!$A$4:$F$232,6,FALSE)</f>
        <v>1</v>
      </c>
      <c r="M66" s="266">
        <f>VLOOKUP(Table4[[#This Row],[Rīcības kods]],'Pivot rīcības un objekti'!$A$4:$F$232,2,FALSE)</f>
        <v>6890</v>
      </c>
      <c r="N66" s="266">
        <f>Table4[[#This Row],[Izmaksas, EUR]]+N65</f>
        <v>6205380</v>
      </c>
      <c r="O66" s="356" t="s">
        <v>333</v>
      </c>
    </row>
    <row r="67" spans="1:16" ht="49.15" customHeight="1">
      <c r="A67" s="262" t="s">
        <v>111</v>
      </c>
      <c r="B67" s="271" t="s">
        <v>293</v>
      </c>
      <c r="C67" s="264" t="str">
        <f>VLOOKUP(Table4[[#This Row],[Rīcības kods]],Rīcibas_plans!$B$4:$D$234,3,FALSE)</f>
        <v>Gājēju un velosipēdu ietve un labiekārtojums Ķeguma prospektā no Parka ielas līdz Tilta ielai</v>
      </c>
      <c r="D67" s="265" t="str">
        <f>VLOOKUP($A67,'Pivot rīcības un objekti'!$A$4:$U$193,21,FALSE)</f>
        <v>Ielas asfaltēšana, gājēju un velosipēdu apvienotā ceļa izbūve, lietišķo atpūtas vietu izbūve, apgaismojuma izbūve</v>
      </c>
      <c r="E67" s="265">
        <f>VLOOKUP($A67,'Pivot rīcības un objekti'!$A$4:$U$193,E$9,FALSE)</f>
        <v>149</v>
      </c>
      <c r="F67" s="265">
        <f>VLOOKUP($A67,'Pivot rīcības un objekti'!$A$4:$U$193,F$9,FALSE)</f>
        <v>86</v>
      </c>
      <c r="G67" s="265">
        <f>VLOOKUP($A67,'Pivot rīcības un objekti'!$A$4:$U$193,G$9,FALSE)</f>
        <v>98</v>
      </c>
      <c r="H67" s="265">
        <f>VLOOKUP($A67,'Pivot rīcības un objekti'!$A$4:$U$193,H$9,FALSE)</f>
        <v>188</v>
      </c>
      <c r="I67" s="265">
        <f>VLOOKUP($A67,'Pivot rīcības un objekti'!$A$4:$U$192,I$9,FALSE)</f>
        <v>164</v>
      </c>
      <c r="J67" s="265">
        <f>VLOOKUP($A67,'Pivot rīcības un objekti'!$A$4:$U$192,J$9,FALSE)</f>
        <v>174</v>
      </c>
      <c r="K67" s="293">
        <f>VLOOKUP(Table4[[#This Row],[Rīcības kods]],'Pivot rīcības un objekti'!$A$4:$T$233,19,FALSE)</f>
        <v>143.16666666666666</v>
      </c>
      <c r="L67" s="265">
        <f>VLOOKUP(Table4[[#This Row],[Rīcības kods]],'Pivot rīcības un objekti'!$A$4:$F$232,6,FALSE)</f>
        <v>1</v>
      </c>
      <c r="M67" s="265">
        <f>VLOOKUP(Table4[[#This Row],[Rīcības kods]],'Pivot rīcības un objekti'!$A$4:$F$232,2,FALSE)</f>
        <v>770000</v>
      </c>
      <c r="N67" s="266">
        <f>Table4[[#This Row],[Izmaksas, EUR]]+N66</f>
        <v>6975380</v>
      </c>
      <c r="O67" s="268"/>
    </row>
    <row r="68" spans="1:16" ht="28.15">
      <c r="A68" s="262" t="s">
        <v>94</v>
      </c>
      <c r="B68" s="271" t="s">
        <v>293</v>
      </c>
      <c r="C68" s="264" t="str">
        <f>VLOOKUP(Table4[[#This Row],[Rīcības kods]],Rīcibas_plans!$B$4:$D$234,3,FALSE)</f>
        <v>Sabiedriskā transporta pietura "Brāļu kapi" uz Rīgas ielas</v>
      </c>
      <c r="D68" s="265" t="str">
        <f>VLOOKUP($A68,'Pivot rīcības un objekti'!$A$4:$U$193,21,FALSE)</f>
        <v>Veikt platformas izbūvi. M tipa autobusa pietura</v>
      </c>
      <c r="E68" s="265">
        <f>VLOOKUP($A68,'Pivot rīcības un objekti'!$A$4:$U$193,E$9,FALSE)</f>
        <v>186</v>
      </c>
      <c r="F68" s="265">
        <f>VLOOKUP($A68,'Pivot rīcības un objekti'!$A$4:$U$193,F$9,FALSE)</f>
        <v>155</v>
      </c>
      <c r="G68" s="265">
        <f>VLOOKUP($A68,'Pivot rīcības un objekti'!$A$4:$U$193,G$9,FALSE)</f>
        <v>194</v>
      </c>
      <c r="H68" s="265">
        <f>VLOOKUP($A68,'Pivot rīcības un objekti'!$A$4:$U$193,H$9,FALSE)</f>
        <v>111</v>
      </c>
      <c r="I68" s="265">
        <f>VLOOKUP($A68,'Pivot rīcības un objekti'!$A$4:$U$192,I$9,FALSE)</f>
        <v>96</v>
      </c>
      <c r="J68" s="265">
        <f>VLOOKUP($A68,'Pivot rīcības un objekti'!$A$4:$U$192,J$9,FALSE)</f>
        <v>126</v>
      </c>
      <c r="K68" s="293">
        <f>VLOOKUP(Table4[[#This Row],[Rīcības kods]],'Pivot rīcības un objekti'!$A$4:$T$233,19,FALSE)</f>
        <v>144.66666666666666</v>
      </c>
      <c r="L68" s="265">
        <f>VLOOKUP(Table4[[#This Row],[Rīcības kods]],'Pivot rīcības un objekti'!$A$4:$F$232,6,FALSE)</f>
        <v>1</v>
      </c>
      <c r="M68" s="265">
        <f>VLOOKUP(Table4[[#This Row],[Rīcības kods]],'Pivot rīcības un objekti'!$A$4:$F$232,2,FALSE)</f>
        <v>13780</v>
      </c>
      <c r="N68" s="266">
        <f>Table4[[#This Row],[Izmaksas, EUR]]+N67</f>
        <v>6989160</v>
      </c>
      <c r="O68" s="267"/>
    </row>
    <row r="69" spans="1:16" ht="42">
      <c r="A69" s="262" t="s">
        <v>123</v>
      </c>
      <c r="B69" s="271" t="s">
        <v>334</v>
      </c>
      <c r="C69" s="264" t="str">
        <f>VLOOKUP(Table4[[#This Row],[Rīcības kods]],Rīcibas_plans!$B$4:$D$234,3,FALSE)</f>
        <v>Lietišķās atpūtas vietas gar P85 no Salaspils rotacijas apļa līdz Daugmalei</v>
      </c>
      <c r="D69" s="265" t="str">
        <f>VLOOKUP($A69,'Pivot rīcības un objekti'!$A$4:$U$193,21,FALSE)</f>
        <v>Papildināt P85 šosejas malas ar lietišķās atpūtas vietām (s tipa)</v>
      </c>
      <c r="E69" s="265">
        <f>VLOOKUP($A69,'Pivot rīcības un objekti'!$A$4:$U$193,E$9,FALSE)</f>
        <v>186</v>
      </c>
      <c r="F69" s="265">
        <f>VLOOKUP($A69,'Pivot rīcības un objekti'!$A$4:$U$193,F$9,FALSE)</f>
        <v>180</v>
      </c>
      <c r="G69" s="265">
        <f>VLOOKUP($A69,'Pivot rīcības un objekti'!$A$4:$U$193,G$9,FALSE)</f>
        <v>184</v>
      </c>
      <c r="H69" s="265">
        <f>VLOOKUP($A69,'Pivot rīcības un objekti'!$A$4:$U$193,H$9,FALSE)</f>
        <v>120</v>
      </c>
      <c r="I69" s="265">
        <f>VLOOKUP($A69,'Pivot rīcības un objekti'!$A$4:$U$192,I$9,FALSE)</f>
        <v>118</v>
      </c>
      <c r="J69" s="265">
        <f>VLOOKUP($A69,'Pivot rīcības un objekti'!$A$4:$U$192,J$9,FALSE)</f>
        <v>123</v>
      </c>
      <c r="K69" s="293">
        <f>VLOOKUP(Table4[[#This Row],[Rīcības kods]],'Pivot rīcības un objekti'!$A$4:$T$233,19,FALSE)</f>
        <v>151.83333333333334</v>
      </c>
      <c r="L69" s="265">
        <f>VLOOKUP(Table4[[#This Row],[Rīcības kods]],'Pivot rīcības un objekti'!$A$4:$F$232,6,FALSE)</f>
        <v>1</v>
      </c>
      <c r="M69" s="265">
        <f>VLOOKUP(Table4[[#This Row],[Rīcības kods]],'Pivot rīcības un objekti'!$A$4:$F$232,2,FALSE)</f>
        <v>19355</v>
      </c>
      <c r="N69" s="266">
        <f>Table4[[#This Row],[Izmaksas, EUR]]+N68</f>
        <v>7008515</v>
      </c>
      <c r="O69" s="267"/>
    </row>
    <row r="70" spans="1:16" ht="42">
      <c r="A70" s="262" t="s">
        <v>95</v>
      </c>
      <c r="B70" s="271" t="s">
        <v>335</v>
      </c>
      <c r="C70" s="264" t="str">
        <f>VLOOKUP(Table4[[#This Row],[Rīcības kods]],Rīcibas_plans!$B$4:$D$234,3,FALSE)</f>
        <v>Sabiedriskā transporta pietura "Senču veikals"  Vārpās uz autoceļa V9 (Iecava - Baldone - Daugmale)</v>
      </c>
      <c r="D70" s="265" t="str">
        <f>VLOOKUP($A70,'Pivot rīcības un objekti'!$A$4:$U$193,21,FALSE)</f>
        <v>M tipa autobusa pietura</v>
      </c>
      <c r="E70" s="265">
        <f>VLOOKUP($A70,'Pivot rīcības un objekti'!$A$4:$U$193,E$9,FALSE)</f>
        <v>206</v>
      </c>
      <c r="F70" s="265">
        <f>VLOOKUP($A70,'Pivot rīcības un objekti'!$A$4:$U$193,F$9,FALSE)</f>
        <v>165</v>
      </c>
      <c r="G70" s="265">
        <f>VLOOKUP($A70,'Pivot rīcības un objekti'!$A$4:$U$193,G$9,FALSE)</f>
        <v>194</v>
      </c>
      <c r="H70" s="265">
        <f>VLOOKUP($A70,'Pivot rīcības un objekti'!$A$4:$U$193,H$9,FALSE)</f>
        <v>134</v>
      </c>
      <c r="I70" s="265">
        <f>VLOOKUP($A70,'Pivot rīcības un objekti'!$A$4:$U$192,I$9,FALSE)</f>
        <v>106</v>
      </c>
      <c r="J70" s="265">
        <f>VLOOKUP($A70,'Pivot rīcības un objekti'!$A$4:$U$192,J$9,FALSE)</f>
        <v>126</v>
      </c>
      <c r="K70" s="293">
        <f>VLOOKUP(Table4[[#This Row],[Rīcības kods]],'Pivot rīcības un objekti'!$A$4:$T$233,19,FALSE)</f>
        <v>155.16666666666666</v>
      </c>
      <c r="L70" s="265">
        <f>VLOOKUP(Table4[[#This Row],[Rīcības kods]],'Pivot rīcības un objekti'!$A$4:$F$232,6,FALSE)</f>
        <v>1</v>
      </c>
      <c r="M70" s="265">
        <f>VLOOKUP(Table4[[#This Row],[Rīcības kods]],'Pivot rīcības un objekti'!$A$4:$F$232,2,FALSE)</f>
        <v>13780</v>
      </c>
      <c r="N70" s="266">
        <f>Table4[[#This Row],[Izmaksas, EUR]]+N69</f>
        <v>7022295</v>
      </c>
      <c r="O70" s="269"/>
    </row>
    <row r="71" spans="1:16" ht="33" customHeight="1">
      <c r="A71" s="262" t="s">
        <v>159</v>
      </c>
      <c r="B71" s="271" t="s">
        <v>336</v>
      </c>
      <c r="C71" s="264" t="str">
        <f>VLOOKUP(Table4[[#This Row],[Rīcības kods]],Rīcibas_plans!$B$4:$D$234,3,FALSE)</f>
        <v xml:space="preserve">Dzērumu ciema aktīvās atpūtas laukums, Aviators 71 </v>
      </c>
      <c r="D71" s="265" t="str">
        <f>VLOOKUP($A71,'Pivot rīcības un objekti'!$A$4:$U$193,21,FALSE)</f>
        <v xml:space="preserve">Izveidot jaunu atpūtas vietu Dzērumu ciemā, ka sparedzēta visu vecumu iedzīvotājiem. Ietvert sporta laikumu, rotālu laukumu. </v>
      </c>
      <c r="E71" s="265">
        <f>VLOOKUP($A71,'Pivot rīcības un objekti'!$A$4:$U$193,E$9,FALSE)</f>
        <v>178</v>
      </c>
      <c r="F71" s="265">
        <f>VLOOKUP($A71,'Pivot rīcības un objekti'!$A$4:$U$193,F$9,FALSE)</f>
        <v>190</v>
      </c>
      <c r="G71" s="265">
        <f>VLOOKUP($A71,'Pivot rīcības un objekti'!$A$4:$U$193,G$9,FALSE)</f>
        <v>158</v>
      </c>
      <c r="H71" s="265">
        <f>VLOOKUP($A71,'Pivot rīcības un objekti'!$A$4:$U$193,H$9,FALSE)</f>
        <v>141</v>
      </c>
      <c r="I71" s="265">
        <f>VLOOKUP($A71,'Pivot rīcības un objekti'!$A$4:$U$192,I$9,FALSE)</f>
        <v>160</v>
      </c>
      <c r="J71" s="265">
        <f>VLOOKUP($A71,'Pivot rīcības un objekti'!$A$4:$U$192,J$9,FALSE)</f>
        <v>135</v>
      </c>
      <c r="K71" s="293">
        <f>VLOOKUP(Table4[[#This Row],[Rīcības kods]],'Pivot rīcības un objekti'!$A$4:$T$233,19,FALSE)</f>
        <v>160.33333333333334</v>
      </c>
      <c r="L71" s="265">
        <f>VLOOKUP(Table4[[#This Row],[Rīcības kods]],'Pivot rīcības un objekti'!$A$4:$F$232,6,FALSE)</f>
        <v>1</v>
      </c>
      <c r="M71" s="265">
        <f>VLOOKUP(Table4[[#This Row],[Rīcības kods]],'Pivot rīcības un objekti'!$A$4:$F$232,2,FALSE)</f>
        <v>45100</v>
      </c>
      <c r="N71" s="266">
        <f>Table4[[#This Row],[Izmaksas, EUR]]+N70</f>
        <v>7067395</v>
      </c>
      <c r="O71" s="268"/>
    </row>
    <row r="72" spans="1:16" ht="28.15">
      <c r="A72" s="262" t="s">
        <v>161</v>
      </c>
      <c r="B72" s="271" t="s">
        <v>336</v>
      </c>
      <c r="C72" s="264" t="str">
        <f>VLOOKUP(Table4[[#This Row],[Rīcības kods]],Rīcibas_plans!$B$4:$D$234,3,FALSE)</f>
        <v>Kopienas centrs, rotaļu laukums Aviators 71, 80700181736</v>
      </c>
      <c r="D72" s="265" t="str">
        <f>VLOOKUP($A72,'Pivot rīcības un objekti'!$A$4:$U$193,21,FALSE)</f>
        <v>Rotaļu laukuma izveide.</v>
      </c>
      <c r="E72" s="265">
        <f>VLOOKUP($A72,'Pivot rīcības un objekti'!$A$4:$U$193,E$9,FALSE)</f>
        <v>206</v>
      </c>
      <c r="F72" s="265">
        <f>VLOOKUP($A72,'Pivot rīcības un objekti'!$A$4:$U$193,F$9,FALSE)</f>
        <v>191</v>
      </c>
      <c r="G72" s="265">
        <f>VLOOKUP($A72,'Pivot rīcības un objekti'!$A$4:$U$193,G$9,FALSE)</f>
        <v>189</v>
      </c>
      <c r="H72" s="265">
        <f>VLOOKUP($A72,'Pivot rīcības un objekti'!$A$4:$U$193,H$9,FALSE)</f>
        <v>131</v>
      </c>
      <c r="I72" s="265">
        <f>VLOOKUP($A72,'Pivot rīcības un objekti'!$A$4:$U$192,I$9,FALSE)</f>
        <v>129</v>
      </c>
      <c r="J72" s="265">
        <f>VLOOKUP($A72,'Pivot rīcības un objekti'!$A$4:$U$192,J$9,FALSE)</f>
        <v>117</v>
      </c>
      <c r="K72" s="293">
        <f>VLOOKUP(Table4[[#This Row],[Rīcības kods]],'Pivot rīcības un objekti'!$A$4:$T$233,19,FALSE)</f>
        <v>160.5</v>
      </c>
      <c r="L72" s="265">
        <f>VLOOKUP(Table4[[#This Row],[Rīcības kods]],'Pivot rīcības un objekti'!$A$4:$F$232,6,FALSE)</f>
        <v>1</v>
      </c>
      <c r="M72" s="266">
        <f>VLOOKUP(Table4[[#This Row],[Rīcības kods]],'Pivot rīcības un objekti'!$A$4:$F$232,2,FALSE)</f>
        <v>13625</v>
      </c>
      <c r="N72" s="266">
        <f>Table4[[#This Row],[Izmaksas, EUR]]+N71</f>
        <v>7081020</v>
      </c>
      <c r="O72" s="268"/>
    </row>
    <row r="73" spans="1:16" ht="41.45" customHeight="1">
      <c r="A73" s="262" t="s">
        <v>99</v>
      </c>
      <c r="B73" s="271" t="s">
        <v>293</v>
      </c>
      <c r="C73" s="264" t="str">
        <f>VLOOKUP(Table4[[#This Row],[Rīcības kods]],Rīcibas_plans!$B$4:$D$234,3,FALSE)</f>
        <v>Daugavas ielas bērnu laukuma teritorija pretī zemes gabalam Daugavas ielā 15</v>
      </c>
      <c r="D73" s="265" t="str">
        <f>VLOOKUP($A73,'Pivot rīcības un objekti'!$A$4:$U$193,21,FALSE)</f>
        <v>Rotaļu elementu atjaunošana.
Piekļuves uzlabošana.
Norobežojošs nožogojums, stādījumi</v>
      </c>
      <c r="E73" s="265">
        <f>VLOOKUP($A73,'Pivot rīcības un objekti'!$A$4:$U$193,E$9,FALSE)</f>
        <v>178</v>
      </c>
      <c r="F73" s="265">
        <f>VLOOKUP($A73,'Pivot rīcības un objekti'!$A$4:$U$193,F$9,FALSE)</f>
        <v>184</v>
      </c>
      <c r="G73" s="265">
        <f>VLOOKUP($A73,'Pivot rīcības un objekti'!$A$4:$U$193,G$9,FALSE)</f>
        <v>187</v>
      </c>
      <c r="H73" s="265">
        <f>VLOOKUP($A73,'Pivot rīcības un objekti'!$A$4:$U$193,H$9,FALSE)</f>
        <v>130</v>
      </c>
      <c r="I73" s="265">
        <f>VLOOKUP($A73,'Pivot rīcības un objekti'!$A$4:$U$192,I$9,FALSE)</f>
        <v>145</v>
      </c>
      <c r="J73" s="265">
        <f>VLOOKUP($A73,'Pivot rīcības un objekti'!$A$4:$U$192,J$9,FALSE)</f>
        <v>149</v>
      </c>
      <c r="K73" s="293">
        <f>VLOOKUP(Table4[[#This Row],[Rīcības kods]],'Pivot rīcības un objekti'!$A$4:$T$233,19,FALSE)</f>
        <v>162.16666666666666</v>
      </c>
      <c r="L73" s="265">
        <f>VLOOKUP(Table4[[#This Row],[Rīcības kods]],'Pivot rīcības un objekti'!$A$4:$F$232,6,FALSE)</f>
        <v>1</v>
      </c>
      <c r="M73" s="265">
        <f>VLOOKUP(Table4[[#This Row],[Rīcības kods]],'Pivot rīcības un objekti'!$A$4:$F$232,2,FALSE)</f>
        <v>40000</v>
      </c>
      <c r="N73" s="266">
        <f>Table4[[#This Row],[Izmaksas, EUR]]+N72</f>
        <v>7121020</v>
      </c>
      <c r="O73" s="267"/>
    </row>
    <row r="74" spans="1:16" ht="42">
      <c r="A74" s="262" t="s">
        <v>239</v>
      </c>
      <c r="B74" s="271" t="s">
        <v>337</v>
      </c>
      <c r="C74" s="264" t="str">
        <f>VLOOKUP(Table4[[#This Row],[Rīcības kods]],Rīcibas_plans!$B$4:$D$234,3,FALSE)</f>
        <v>Rotaļu laukuma izveide Mellupos zemes gabalā pie autoceļa V7 (Baloži - Plakanciems - Iecava)</v>
      </c>
      <c r="D74" s="265" t="e">
        <f>VLOOKUP($A74,'Pivot rīcības un objekti'!$A$4:$U$193,21,FALSE)</f>
        <v>#N/A</v>
      </c>
      <c r="E74" s="265" t="e">
        <f>VLOOKUP($A74,'Pivot rīcības un objekti'!$A$4:$U$193,E$9,FALSE)</f>
        <v>#N/A</v>
      </c>
      <c r="F74" s="265" t="e">
        <f>VLOOKUP($A74,'Pivot rīcības un objekti'!$A$4:$U$193,F$9,FALSE)</f>
        <v>#N/A</v>
      </c>
      <c r="G74" s="265" t="e">
        <f>VLOOKUP($A74,'Pivot rīcības un objekti'!$A$4:$U$193,G$9,FALSE)</f>
        <v>#N/A</v>
      </c>
      <c r="H74" s="265" t="e">
        <f>VLOOKUP($A74,'Pivot rīcības un objekti'!$A$4:$U$193,H$9,FALSE)</f>
        <v>#N/A</v>
      </c>
      <c r="I74" s="265" t="e">
        <f>VLOOKUP($A74,'Pivot rīcības un objekti'!$A$4:$U$192,I$9,FALSE)</f>
        <v>#N/A</v>
      </c>
      <c r="J74" s="265" t="e">
        <f>VLOOKUP($A74,'Pivot rīcības un objekti'!$A$4:$U$192,J$9,FALSE)</f>
        <v>#N/A</v>
      </c>
      <c r="K74" s="293">
        <f>VLOOKUP(Table4[[#This Row],[Rīcības kods]],'Pivot rīcības un objekti'!$A$4:$T$233,19,FALSE)</f>
        <v>166.66666666666666</v>
      </c>
      <c r="L74" s="265">
        <f>VLOOKUP(Table4[[#This Row],[Rīcības kods]],'Pivot rīcības un objekti'!$A$4:$F$232,6,FALSE)</f>
        <v>1</v>
      </c>
      <c r="M74" s="266">
        <f>VLOOKUP(Table4[[#This Row],[Rīcības kods]],'Pivot rīcības un objekti'!$A$4:$F$232,2,FALSE)</f>
        <v>13625</v>
      </c>
      <c r="N74" s="266">
        <f>Table4[[#This Row],[Izmaksas, EUR]]+N73</f>
        <v>7134645</v>
      </c>
      <c r="O74" s="268"/>
    </row>
    <row r="75" spans="1:16" ht="42">
      <c r="A75" s="262" t="s">
        <v>125</v>
      </c>
      <c r="B75" s="271" t="s">
        <v>308</v>
      </c>
      <c r="C75" s="264" t="str">
        <f>VLOOKUP(Table4[[#This Row],[Rīcības kods]],Rīcibas_plans!$B$4:$D$234,3,FALSE)</f>
        <v>Sabiedriskā transporta pietura "Nabiņas" uz autoceļa V9 (Iecava - Baldone - Daugmale)</v>
      </c>
      <c r="D75" s="265" t="str">
        <f>VLOOKUP($A75,'Pivot rīcības un objekti'!$A$4:$U$193,21,FALSE)</f>
        <v>Uzlabot pieturas labiekārtojumu.</v>
      </c>
      <c r="E75" s="265">
        <f>VLOOKUP($A75,'Pivot rīcības un objekti'!$A$4:$U$193,E$9,FALSE)</f>
        <v>215</v>
      </c>
      <c r="F75" s="265">
        <f>VLOOKUP($A75,'Pivot rīcības un objekti'!$A$4:$U$193,F$9,FALSE)</f>
        <v>207</v>
      </c>
      <c r="G75" s="265">
        <f>VLOOKUP($A75,'Pivot rīcības un objekti'!$A$4:$U$193,G$9,FALSE)</f>
        <v>205</v>
      </c>
      <c r="H75" s="265">
        <f>VLOOKUP($A75,'Pivot rīcības un objekti'!$A$4:$U$193,H$9,FALSE)</f>
        <v>125</v>
      </c>
      <c r="I75" s="265">
        <f>VLOOKUP($A75,'Pivot rīcības un objekti'!$A$4:$U$192,I$9,FALSE)</f>
        <v>123</v>
      </c>
      <c r="J75" s="265">
        <f>VLOOKUP($A75,'Pivot rīcības un objekti'!$A$4:$U$192,J$9,FALSE)</f>
        <v>128</v>
      </c>
      <c r="K75" s="293">
        <f>VLOOKUP(Table4[[#This Row],[Rīcības kods]],'Pivot rīcības un objekti'!$A$4:$T$233,19,FALSE)</f>
        <v>167.16666666666666</v>
      </c>
      <c r="L75" s="265">
        <f>VLOOKUP(Table4[[#This Row],[Rīcības kods]],'Pivot rīcības un objekti'!$A$4:$F$232,6,FALSE)</f>
        <v>1</v>
      </c>
      <c r="M75" s="265">
        <f>VLOOKUP(Table4[[#This Row],[Rīcības kods]],'Pivot rīcības un objekti'!$A$4:$F$232,2,FALSE)</f>
        <v>5530</v>
      </c>
      <c r="N75" s="266">
        <f>Table4[[#This Row],[Izmaksas, EUR]]+N74</f>
        <v>7140175</v>
      </c>
      <c r="O75" s="268"/>
    </row>
    <row r="76" spans="1:16" ht="42">
      <c r="A76" s="262" t="s">
        <v>126</v>
      </c>
      <c r="B76" s="271" t="s">
        <v>308</v>
      </c>
      <c r="C76" s="264" t="str">
        <f>VLOOKUP(Table4[[#This Row],[Rīcības kods]],Rīcibas_plans!$B$4:$D$234,3,FALSE)</f>
        <v>Sabiedriskā transporta pietura "Celmi" uz autoceļa V9 (Iecava - Baldone - Daugmale)</v>
      </c>
      <c r="D76" s="265" t="str">
        <f>VLOOKUP($A76,'Pivot rīcības un objekti'!$A$4:$U$193,21,FALSE)</f>
        <v>Uzlabot pieturas labiekārtojumu.</v>
      </c>
      <c r="E76" s="265">
        <f>VLOOKUP($A76,'Pivot rīcības un objekti'!$A$4:$U$193,E$9,FALSE)</f>
        <v>215</v>
      </c>
      <c r="F76" s="265">
        <f>VLOOKUP($A76,'Pivot rīcības un objekti'!$A$4:$U$193,F$9,FALSE)</f>
        <v>207</v>
      </c>
      <c r="G76" s="265">
        <f>VLOOKUP($A76,'Pivot rīcības un objekti'!$A$4:$U$193,G$9,FALSE)</f>
        <v>205</v>
      </c>
      <c r="H76" s="265">
        <f>VLOOKUP($A76,'Pivot rīcības un objekti'!$A$4:$U$193,H$9,FALSE)</f>
        <v>125</v>
      </c>
      <c r="I76" s="265">
        <f>VLOOKUP($A76,'Pivot rīcības un objekti'!$A$4:$U$192,I$9,FALSE)</f>
        <v>123</v>
      </c>
      <c r="J76" s="265">
        <f>VLOOKUP($A76,'Pivot rīcības un objekti'!$A$4:$U$192,J$9,FALSE)</f>
        <v>128</v>
      </c>
      <c r="K76" s="293">
        <f>VLOOKUP(Table4[[#This Row],[Rīcības kods]],'Pivot rīcības un objekti'!$A$4:$T$233,19,FALSE)</f>
        <v>167.16666666666666</v>
      </c>
      <c r="L76" s="265">
        <f>VLOOKUP(Table4[[#This Row],[Rīcības kods]],'Pivot rīcības un objekti'!$A$4:$F$232,6,FALSE)</f>
        <v>1</v>
      </c>
      <c r="M76" s="265">
        <f>VLOOKUP(Table4[[#This Row],[Rīcības kods]],'Pivot rīcības un objekti'!$A$4:$F$232,2,FALSE)</f>
        <v>5530</v>
      </c>
      <c r="N76" s="266">
        <f>Table4[[#This Row],[Izmaksas, EUR]]+N75</f>
        <v>7145705</v>
      </c>
      <c r="O76" s="267"/>
      <c r="P76" s="60"/>
    </row>
    <row r="77" spans="1:16" ht="42">
      <c r="A77" s="262" t="s">
        <v>127</v>
      </c>
      <c r="B77" s="271" t="s">
        <v>308</v>
      </c>
      <c r="C77" s="264" t="str">
        <f>VLOOKUP(Table4[[#This Row],[Rīcības kods]],Rīcibas_plans!$B$4:$D$234,3,FALSE)</f>
        <v>Sabiedriskā transporta pietura "Ezeri" uz autoceļa V9 (Iecava - Baldone - Daugmale)</v>
      </c>
      <c r="D77" s="265" t="str">
        <f>VLOOKUP($A77,'Pivot rīcības un objekti'!$A$4:$U$193,21,FALSE)</f>
        <v>Uzlabot pieturas labiekārtojumu.</v>
      </c>
      <c r="E77" s="265">
        <f>VLOOKUP($A77,'Pivot rīcības un objekti'!$A$4:$U$193,E$9,FALSE)</f>
        <v>215</v>
      </c>
      <c r="F77" s="265">
        <f>VLOOKUP($A77,'Pivot rīcības un objekti'!$A$4:$U$193,F$9,FALSE)</f>
        <v>207</v>
      </c>
      <c r="G77" s="265">
        <f>VLOOKUP($A77,'Pivot rīcības un objekti'!$A$4:$U$193,G$9,FALSE)</f>
        <v>205</v>
      </c>
      <c r="H77" s="265">
        <f>VLOOKUP($A77,'Pivot rīcības un objekti'!$A$4:$U$193,H$9,FALSE)</f>
        <v>125</v>
      </c>
      <c r="I77" s="265">
        <f>VLOOKUP($A77,'Pivot rīcības un objekti'!$A$4:$U$192,I$9,FALSE)</f>
        <v>123</v>
      </c>
      <c r="J77" s="265">
        <f>VLOOKUP($A77,'Pivot rīcības un objekti'!$A$4:$U$192,J$9,FALSE)</f>
        <v>128</v>
      </c>
      <c r="K77" s="293">
        <f>VLOOKUP(Table4[[#This Row],[Rīcības kods]],'Pivot rīcības un objekti'!$A$4:$T$233,19,FALSE)</f>
        <v>167.16666666666666</v>
      </c>
      <c r="L77" s="265">
        <f>VLOOKUP(Table4[[#This Row],[Rīcības kods]],'Pivot rīcības un objekti'!$A$4:$F$232,6,FALSE)</f>
        <v>1</v>
      </c>
      <c r="M77" s="265">
        <f>VLOOKUP(Table4[[#This Row],[Rīcības kods]],'Pivot rīcības un objekti'!$A$4:$F$232,2,FALSE)</f>
        <v>5530</v>
      </c>
      <c r="N77" s="266">
        <f>Table4[[#This Row],[Izmaksas, EUR]]+N76</f>
        <v>7151235</v>
      </c>
      <c r="O77" s="268"/>
    </row>
    <row r="78" spans="1:16" ht="46.9" customHeight="1">
      <c r="A78" s="262" t="s">
        <v>141</v>
      </c>
      <c r="B78" s="271" t="s">
        <v>338</v>
      </c>
      <c r="C78" s="264" t="str">
        <f>VLOOKUP(Table4[[#This Row],[Rīcības kods]],Rīcibas_plans!$B$4:$D$234,3,FALSE)</f>
        <v>Sabiedriskā transporta pieturas abos virzienos "Dzintari" uz autoceļa P85 (Rīgas HES - Jaunjelgava)</v>
      </c>
      <c r="D78" s="265" t="str">
        <f>VLOOKUP($A78,'Pivot rīcības un objekti'!$A$4:$U$193,21,FALSE)</f>
        <v>Veikt pieturas pārbūvi, veidojot  M tipa sabiedriskā transporta pieturu.</v>
      </c>
      <c r="E78" s="265">
        <f>VLOOKUP($A78,'Pivot rīcības un objekti'!$A$4:$U$193,E$9,FALSE)</f>
        <v>215</v>
      </c>
      <c r="F78" s="265">
        <f>VLOOKUP($A78,'Pivot rīcības un objekti'!$A$4:$U$193,F$9,FALSE)</f>
        <v>207</v>
      </c>
      <c r="G78" s="265">
        <f>VLOOKUP($A78,'Pivot rīcības un objekti'!$A$4:$U$193,G$9,FALSE)</f>
        <v>205</v>
      </c>
      <c r="H78" s="265">
        <f>VLOOKUP($A78,'Pivot rīcības un objekti'!$A$4:$U$193,H$9,FALSE)</f>
        <v>134</v>
      </c>
      <c r="I78" s="265">
        <f>VLOOKUP($A78,'Pivot rīcības un objekti'!$A$4:$U$192,I$9,FALSE)</f>
        <v>130</v>
      </c>
      <c r="J78" s="265">
        <f>VLOOKUP($A78,'Pivot rīcības un objekti'!$A$4:$U$192,J$9,FALSE)</f>
        <v>139</v>
      </c>
      <c r="K78" s="293">
        <f>VLOOKUP(Table4[[#This Row],[Rīcības kods]],'Pivot rīcības un objekti'!$A$4:$T$233,19,FALSE)</f>
        <v>171.66666666666666</v>
      </c>
      <c r="L78" s="265">
        <f>VLOOKUP(Table4[[#This Row],[Rīcības kods]],'Pivot rīcības un objekti'!$A$4:$F$232,6,FALSE)</f>
        <v>1</v>
      </c>
      <c r="M78" s="266">
        <f>VLOOKUP(Table4[[#This Row],[Rīcības kods]],'Pivot rīcības un objekti'!$A$4:$F$232,2,FALSE)</f>
        <v>6890</v>
      </c>
      <c r="N78" s="266">
        <f>Table4[[#This Row],[Izmaksas, EUR]]+N77</f>
        <v>7158125</v>
      </c>
      <c r="O78" s="268"/>
    </row>
    <row r="79" spans="1:16" ht="51" customHeight="1">
      <c r="A79" s="262" t="s">
        <v>142</v>
      </c>
      <c r="B79" s="271" t="s">
        <v>338</v>
      </c>
      <c r="C79" s="264" t="str">
        <f>VLOOKUP(Table4[[#This Row],[Rīcības kods]],Rīcibas_plans!$B$4:$D$234,3,FALSE)</f>
        <v>Sabiedriskā transporta pieturas abos virzienos "Bramberģe"  uz autoceļa P85 (Rīgas HES - Jaunjelgava)</v>
      </c>
      <c r="D79" s="265" t="str">
        <f>VLOOKUP($A79,'Pivot rīcības un objekti'!$A$4:$U$193,21,FALSE)</f>
        <v>Veikt pieturas pārbūvi, veidojot  M tipa sabiedriskā transporta pieturu.</v>
      </c>
      <c r="E79" s="265">
        <f>VLOOKUP($A79,'Pivot rīcības un objekti'!$A$4:$U$193,E$9,FALSE)</f>
        <v>215</v>
      </c>
      <c r="F79" s="265">
        <f>VLOOKUP($A79,'Pivot rīcības un objekti'!$A$4:$U$193,F$9,FALSE)</f>
        <v>207</v>
      </c>
      <c r="G79" s="265">
        <f>VLOOKUP($A79,'Pivot rīcības un objekti'!$A$4:$U$193,G$9,FALSE)</f>
        <v>205</v>
      </c>
      <c r="H79" s="265">
        <f>VLOOKUP($A79,'Pivot rīcības un objekti'!$A$4:$U$193,H$9,FALSE)</f>
        <v>134</v>
      </c>
      <c r="I79" s="265">
        <f>VLOOKUP($A79,'Pivot rīcības un objekti'!$A$4:$U$192,I$9,FALSE)</f>
        <v>130</v>
      </c>
      <c r="J79" s="265">
        <f>VLOOKUP($A79,'Pivot rīcības un objekti'!$A$4:$U$192,J$9,FALSE)</f>
        <v>139</v>
      </c>
      <c r="K79" s="293">
        <f>VLOOKUP(Table4[[#This Row],[Rīcības kods]],'Pivot rīcības un objekti'!$A$4:$T$233,19,FALSE)</f>
        <v>171.66666666666666</v>
      </c>
      <c r="L79" s="265">
        <f>VLOOKUP(Table4[[#This Row],[Rīcības kods]],'Pivot rīcības un objekti'!$A$4:$F$232,6,FALSE)</f>
        <v>1</v>
      </c>
      <c r="M79" s="266">
        <f>VLOOKUP(Table4[[#This Row],[Rīcības kods]],'Pivot rīcības un objekti'!$A$4:$F$232,2,FALSE)</f>
        <v>6890</v>
      </c>
      <c r="N79" s="266">
        <f>Table4[[#This Row],[Izmaksas, EUR]]+N78</f>
        <v>7165015</v>
      </c>
      <c r="O79" s="268"/>
    </row>
    <row r="80" spans="1:16" ht="52.15" customHeight="1">
      <c r="A80" s="262" t="s">
        <v>143</v>
      </c>
      <c r="B80" s="271" t="s">
        <v>308</v>
      </c>
      <c r="C80" s="264" t="str">
        <f>VLOOKUP(Table4[[#This Row],[Rīcības kods]],Rīcibas_plans!$B$4:$D$234,3,FALSE)</f>
        <v>Sabiedriskā transporta pieturas abos virzienos "Birzītes" uz autoceļa P85 (Rīgas HES - Jaunjelgava)</v>
      </c>
      <c r="D80" s="265" t="str">
        <f>VLOOKUP($A80,'Pivot rīcības un objekti'!$A$4:$U$193,21,FALSE)</f>
        <v>Veikt pieturas pārbūvi, veidojot  M tipa sabiedriskā transporta pieturu.</v>
      </c>
      <c r="E80" s="265">
        <f>VLOOKUP($A80,'Pivot rīcības un objekti'!$A$4:$U$193,E$9,FALSE)</f>
        <v>215</v>
      </c>
      <c r="F80" s="265">
        <f>VLOOKUP($A80,'Pivot rīcības un objekti'!$A$4:$U$193,F$9,FALSE)</f>
        <v>207</v>
      </c>
      <c r="G80" s="265">
        <f>VLOOKUP($A80,'Pivot rīcības un objekti'!$A$4:$U$193,G$9,FALSE)</f>
        <v>205</v>
      </c>
      <c r="H80" s="265">
        <f>VLOOKUP($A80,'Pivot rīcības un objekti'!$A$4:$U$193,H$9,FALSE)</f>
        <v>134</v>
      </c>
      <c r="I80" s="265">
        <f>VLOOKUP($A80,'Pivot rīcības un objekti'!$A$4:$U$192,I$9,FALSE)</f>
        <v>130</v>
      </c>
      <c r="J80" s="265">
        <f>VLOOKUP($A80,'Pivot rīcības un objekti'!$A$4:$U$192,J$9,FALSE)</f>
        <v>139</v>
      </c>
      <c r="K80" s="293">
        <f>VLOOKUP(Table4[[#This Row],[Rīcības kods]],'Pivot rīcības un objekti'!$A$4:$T$233,19,FALSE)</f>
        <v>171.66666666666666</v>
      </c>
      <c r="L80" s="265">
        <f>VLOOKUP(Table4[[#This Row],[Rīcības kods]],'Pivot rīcības un objekti'!$A$4:$F$232,6,FALSE)</f>
        <v>1</v>
      </c>
      <c r="M80" s="266">
        <f>VLOOKUP(Table4[[#This Row],[Rīcības kods]],'Pivot rīcības un objekti'!$A$4:$F$232,2,FALSE)</f>
        <v>6890</v>
      </c>
      <c r="N80" s="266">
        <f>Table4[[#This Row],[Izmaksas, EUR]]+N79</f>
        <v>7171905</v>
      </c>
      <c r="O80" s="268"/>
    </row>
    <row r="81" spans="1:15" ht="24" customHeight="1">
      <c r="A81" s="262" t="s">
        <v>90</v>
      </c>
      <c r="B81" s="271" t="s">
        <v>339</v>
      </c>
      <c r="C81" s="264" t="str">
        <f>VLOOKUP(Table4[[#This Row],[Rīcības kods]],Rīcibas_plans!$B$4:$D$234,3,FALSE)</f>
        <v>Mercendarbes muižas parks</v>
      </c>
      <c r="D81" s="265" t="str">
        <f>VLOOKUP($A81,'Pivot rīcības un objekti'!$A$4:$U$193,21,FALSE)</f>
        <v>Parka labiekārtošana. Ceļu, lietišķās atpūtas vietu ierīkošana, dīķa tīrīšana, laipas izveide</v>
      </c>
      <c r="E81" s="265">
        <f>VLOOKUP($A81,'Pivot rīcības un objekti'!$A$4:$U$193,E$9,FALSE)</f>
        <v>93</v>
      </c>
      <c r="F81" s="265">
        <f>VLOOKUP($A81,'Pivot rīcības un objekti'!$A$4:$U$193,F$9,FALSE)</f>
        <v>196</v>
      </c>
      <c r="G81" s="265">
        <f>VLOOKUP($A81,'Pivot rīcības un objekti'!$A$4:$U$193,G$9,FALSE)</f>
        <v>214</v>
      </c>
      <c r="H81" s="265">
        <f>VLOOKUP($A81,'Pivot rīcības un objekti'!$A$4:$U$193,H$9,FALSE)</f>
        <v>164</v>
      </c>
      <c r="I81" s="265">
        <f>VLOOKUP($A81,'Pivot rīcības un objekti'!$A$4:$U$192,I$9,FALSE)</f>
        <v>189</v>
      </c>
      <c r="J81" s="265">
        <f>VLOOKUP($A81,'Pivot rīcības un objekti'!$A$4:$U$192,J$9,FALSE)</f>
        <v>193</v>
      </c>
      <c r="K81" s="293">
        <f>VLOOKUP(Table4[[#This Row],[Rīcības kods]],'Pivot rīcības un objekti'!$A$4:$T$233,19,FALSE)</f>
        <v>174.83333333333334</v>
      </c>
      <c r="L81" s="265">
        <f>VLOOKUP(Table4[[#This Row],[Rīcības kods]],'Pivot rīcības un objekti'!$A$4:$F$232,6,FALSE)</f>
        <v>1</v>
      </c>
      <c r="M81" s="265">
        <f>VLOOKUP(Table4[[#This Row],[Rīcības kods]],'Pivot rīcības un objekti'!$A$4:$F$232,2,FALSE)</f>
        <v>400000</v>
      </c>
      <c r="N81" s="266">
        <f>Table4[[#This Row],[Izmaksas, EUR]]+N80</f>
        <v>7571905</v>
      </c>
      <c r="O81" s="267"/>
    </row>
    <row r="82" spans="1:15" ht="42">
      <c r="A82" s="262" t="s">
        <v>93</v>
      </c>
      <c r="B82" s="271" t="s">
        <v>340</v>
      </c>
      <c r="C82" s="264" t="str">
        <f>VLOOKUP(Table4[[#This Row],[Rīcības kods]],Rīcibas_plans!$B$4:$D$234,3,FALSE)</f>
        <v>Sabiedriskā transporta pietura "Rasiņas" uz autoceļa  V9 (Iecava - Baldone - Daugmale)</v>
      </c>
      <c r="D82" s="265" t="str">
        <f>VLOOKUP($A82,'Pivot rīcības un objekti'!$A$4:$U$193,21,FALSE)</f>
        <v>Veikt platformas izbūvi</v>
      </c>
      <c r="E82" s="265">
        <f>VLOOKUP($A82,'Pivot rīcības un objekti'!$A$4:$U$193,E$9,FALSE)</f>
        <v>225</v>
      </c>
      <c r="F82" s="265">
        <f>VLOOKUP($A82,'Pivot rīcības un objekti'!$A$4:$U$193,F$9,FALSE)</f>
        <v>220</v>
      </c>
      <c r="G82" s="265">
        <f>VLOOKUP($A82,'Pivot rīcības un objekti'!$A$4:$U$193,G$9,FALSE)</f>
        <v>223</v>
      </c>
      <c r="H82" s="265">
        <f>VLOOKUP($A82,'Pivot rīcības un objekti'!$A$4:$U$193,H$9,FALSE)</f>
        <v>154</v>
      </c>
      <c r="I82" s="265">
        <f>VLOOKUP($A82,'Pivot rīcības un objekti'!$A$4:$U$192,I$9,FALSE)</f>
        <v>162</v>
      </c>
      <c r="J82" s="265">
        <f>VLOOKUP($A82,'Pivot rīcības un objekti'!$A$4:$U$192,J$9,FALSE)</f>
        <v>181</v>
      </c>
      <c r="K82" s="293">
        <f>VLOOKUP(Table4[[#This Row],[Rīcības kods]],'Pivot rīcības un objekti'!$A$4:$T$233,19,FALSE)</f>
        <v>194.16666666666666</v>
      </c>
      <c r="L82" s="265">
        <f>VLOOKUP(Table4[[#This Row],[Rīcības kods]],'Pivot rīcības un objekti'!$A$4:$F$232,6,FALSE)</f>
        <v>1</v>
      </c>
      <c r="M82" s="265">
        <f>VLOOKUP(Table4[[#This Row],[Rīcības kods]],'Pivot rīcības un objekti'!$A$4:$F$232,2,FALSE)</f>
        <v>5530</v>
      </c>
      <c r="N82" s="266">
        <f>Table4[[#This Row],[Izmaksas, EUR]]+N81</f>
        <v>7577435</v>
      </c>
      <c r="O82" s="269"/>
    </row>
    <row r="83" spans="1:15" ht="51.6" customHeight="1">
      <c r="A83" s="262" t="s">
        <v>84</v>
      </c>
      <c r="B83" s="271" t="s">
        <v>293</v>
      </c>
      <c r="C83" s="264" t="str">
        <f>VLOOKUP(Table4[[#This Row],[Rīcības kods]],Rīcibas_plans!$B$4:$D$234,3,FALSE)</f>
        <v>Baldones pārvaldes ēkas priekšlaukums, 
Pārupes iela 3, Baldone</v>
      </c>
      <c r="D83" s="265" t="str">
        <f>VLOOKUP($A83,'Pivot rīcības un objekti'!$A$4:$U$193,21,FALSE)</f>
        <v>Papildināt ar kokaugu stādījumiem. Navigācijas norādes. Lietišķās atpūtas vietas gar gājēju ceļu struktūru.</v>
      </c>
      <c r="E83" s="265">
        <f>VLOOKUP($A83,'Pivot rīcības un objekti'!$A$4:$U$193,E$9,FALSE)</f>
        <v>186</v>
      </c>
      <c r="F83" s="265">
        <f>VLOOKUP($A83,'Pivot rīcības un objekti'!$A$4:$U$193,F$9,FALSE)</f>
        <v>207</v>
      </c>
      <c r="G83" s="265">
        <f>VLOOKUP($A83,'Pivot rīcības un objekti'!$A$4:$U$193,G$9,FALSE)</f>
        <v>220</v>
      </c>
      <c r="H83" s="265">
        <f>VLOOKUP($A83,'Pivot rīcības un objekti'!$A$4:$U$193,H$9,FALSE)</f>
        <v>177</v>
      </c>
      <c r="I83" s="265">
        <f>VLOOKUP($A83,'Pivot rīcības un objekti'!$A$4:$U$192,I$9,FALSE)</f>
        <v>186</v>
      </c>
      <c r="J83" s="265">
        <f>VLOOKUP($A83,'Pivot rīcības un objekti'!$A$4:$U$192,J$9,FALSE)</f>
        <v>192</v>
      </c>
      <c r="K83" s="293">
        <f>VLOOKUP(Table4[[#This Row],[Rīcības kods]],'Pivot rīcības un objekti'!$A$4:$T$233,19,FALSE)</f>
        <v>194.66666666666666</v>
      </c>
      <c r="L83" s="265">
        <f>VLOOKUP(Table4[[#This Row],[Rīcības kods]],'Pivot rīcības un objekti'!$A$4:$F$232,6,FALSE)</f>
        <v>1</v>
      </c>
      <c r="M83" s="265">
        <f>VLOOKUP(Table4[[#This Row],[Rīcības kods]],'Pivot rīcības un objekti'!$A$4:$F$232,2,FALSE)</f>
        <v>125000</v>
      </c>
      <c r="N83" s="266">
        <f>Table4[[#This Row],[Izmaksas, EUR]]+N82</f>
        <v>7702435</v>
      </c>
      <c r="O83" s="268"/>
    </row>
    <row r="84" spans="1:15" ht="48" customHeight="1">
      <c r="A84" s="262" t="s">
        <v>109</v>
      </c>
      <c r="B84" s="271" t="s">
        <v>340</v>
      </c>
      <c r="C84" s="264" t="str">
        <f>VLOOKUP(Table4[[#This Row],[Rīcības kods]],Rīcibas_plans!$B$4:$D$234,3,FALSE)</f>
        <v>Sabiedriskā transporta pietura "Stūri 1"  uz autoceļa V9 (Iecava - Baldone - Daugmale)</v>
      </c>
      <c r="D84" s="265" t="str">
        <f>VLOOKUP($A84,'Pivot rīcības un objekti'!$A$4:$U$193,21,FALSE)</f>
        <v>Veikt platformas, soliņu izbūvi. Esošā labiekārtojuma atjaunošanu.</v>
      </c>
      <c r="E84" s="265">
        <f>VLOOKUP($A84,'Pivot rīcības un objekti'!$A$4:$U$193,E$9,FALSE)</f>
        <v>227</v>
      </c>
      <c r="F84" s="265">
        <f>VLOOKUP($A84,'Pivot rīcības un objekti'!$A$4:$U$193,F$9,FALSE)</f>
        <v>225</v>
      </c>
      <c r="G84" s="265">
        <f>VLOOKUP($A84,'Pivot rīcības un objekti'!$A$4:$U$193,G$9,FALSE)</f>
        <v>225</v>
      </c>
      <c r="H84" s="265">
        <f>VLOOKUP($A84,'Pivot rīcības un objekti'!$A$4:$U$193,H$9,FALSE)</f>
        <v>174</v>
      </c>
      <c r="I84" s="265">
        <f>VLOOKUP($A84,'Pivot rīcības un objekti'!$A$4:$U$192,I$9,FALSE)</f>
        <v>175</v>
      </c>
      <c r="J84" s="265">
        <f>VLOOKUP($A84,'Pivot rīcības un objekti'!$A$4:$U$192,J$9,FALSE)</f>
        <v>185</v>
      </c>
      <c r="K84" s="293">
        <f>VLOOKUP(Table4[[#This Row],[Rīcības kods]],'Pivot rīcības un objekti'!$A$4:$T$233,19,FALSE)</f>
        <v>201.83333333333334</v>
      </c>
      <c r="L84" s="265">
        <f>VLOOKUP(Table4[[#This Row],[Rīcības kods]],'Pivot rīcības un objekti'!$A$4:$F$232,6,FALSE)</f>
        <v>1</v>
      </c>
      <c r="M84" s="265">
        <f>VLOOKUP(Table4[[#This Row],[Rīcības kods]],'Pivot rīcības un objekti'!$A$4:$F$232,2,FALSE)</f>
        <v>5530</v>
      </c>
      <c r="N84" s="266">
        <f>Table4[[#This Row],[Izmaksas, EUR]]+N83</f>
        <v>7707965</v>
      </c>
      <c r="O84" s="267"/>
    </row>
    <row r="85" spans="1:15" ht="37.15" customHeight="1">
      <c r="A85" s="262" t="s">
        <v>203</v>
      </c>
      <c r="B85" s="271" t="s">
        <v>324</v>
      </c>
      <c r="C85" s="264" t="str">
        <f>VLOOKUP(Table4[[#This Row],[Rīcības kods]],Rīcibas_plans!$B$4:$D$234,3,FALSE)</f>
        <v>Ābeļdārzs, Skolas iela 1</v>
      </c>
      <c r="D85" s="265" t="str">
        <f>VLOOKUP($A85,'Pivot rīcības un objekti'!$A$4:$U$193,21,FALSE)</f>
        <v>Veikt skvēra rekonstrukciju, sakārtojot tā funkcionālo zonējumu - gājēju zona, lietisķās atpūtas vietas (L tipa), apstādījumu zona, vides objekts. Savienojumi (gājēju pārejas pāri Nākotnes ielai)</v>
      </c>
      <c r="E85" s="265">
        <f>VLOOKUP($A85,'Pivot rīcības un objekti'!$A$4:$U$193,E$9,FALSE)</f>
        <v>130</v>
      </c>
      <c r="F85" s="265">
        <f>VLOOKUP($A85,'Pivot rīcības un objekti'!$A$4:$U$193,F$9,FALSE)</f>
        <v>116</v>
      </c>
      <c r="G85" s="265">
        <f>VLOOKUP($A85,'Pivot rīcības un objekti'!$A$4:$U$193,G$9,FALSE)</f>
        <v>161</v>
      </c>
      <c r="H85" s="265" t="e">
        <f>VLOOKUP($A85,'Pivot rīcības un objekti'!$A$4:$U$193,H$9,FALSE)</f>
        <v>#VALUE!</v>
      </c>
      <c r="I85" s="265" t="e">
        <f>VLOOKUP($A85,'Pivot rīcības un objekti'!$A$4:$U$192,I$9,FALSE)</f>
        <v>#VALUE!</v>
      </c>
      <c r="J85" s="265" t="e">
        <f>VLOOKUP($A85,'Pivot rīcības un objekti'!$A$4:$U$192,J$9,FALSE)</f>
        <v>#VALUE!</v>
      </c>
      <c r="K85" s="293" t="e">
        <f>VLOOKUP(Table4[[#This Row],[Rīcības kods]],'Pivot rīcības un objekti'!$A$4:$T$233,19,FALSE)</f>
        <v>#VALUE!</v>
      </c>
      <c r="L85" s="265">
        <f>VLOOKUP(Table4[[#This Row],[Rīcības kods]],'Pivot rīcības un objekti'!$A$4:$F$232,6,FALSE)</f>
        <v>1</v>
      </c>
      <c r="M85" s="265">
        <f>VLOOKUP(Table4[[#This Row],[Rīcības kods]],'Pivot rīcības un objekti'!$A$4:$F$232,2,FALSE)</f>
        <v>0</v>
      </c>
      <c r="N85" s="266">
        <f>Table4[[#This Row],[Izmaksas, EUR]]+N84</f>
        <v>7707965</v>
      </c>
      <c r="O85" s="268"/>
    </row>
    <row r="86" spans="1:15" ht="36" customHeight="1">
      <c r="A86" s="262" t="s">
        <v>175</v>
      </c>
      <c r="B86" s="263" t="s">
        <v>324</v>
      </c>
      <c r="C86" s="264" t="str">
        <f>VLOOKUP(Table4[[#This Row],[Rīcības kods]],Rīcibas_plans!$B$4:$D$234,3,FALSE)</f>
        <v>Ķekavas vidusskola, Gaismas iela 9</v>
      </c>
      <c r="D86" s="265" t="str">
        <f>VLOOKUP($A86,'Pivot rīcības un objekti'!$A$4:$U$193,21,FALSE)</f>
        <v>Veikt skolas priekšlaukuma rekonstrukciju un funkcionālo zonējumu - gājēju ceļi, velosipēdu novietnes, lietišķās atpūtas vieta (S tipa), apstādījumu zona</v>
      </c>
      <c r="E86" s="265">
        <f>VLOOKUP($A86,'Pivot rīcības un objekti'!$A$4:$U$193,E$9,FALSE)</f>
        <v>149</v>
      </c>
      <c r="F86" s="265">
        <f>VLOOKUP($A86,'Pivot rīcības un objekti'!$A$4:$U$193,F$9,FALSE)</f>
        <v>121</v>
      </c>
      <c r="G86" s="265">
        <f>VLOOKUP($A86,'Pivot rīcības un objekti'!$A$4:$U$193,G$9,FALSE)</f>
        <v>152</v>
      </c>
      <c r="H86" s="265" t="e">
        <f>VLOOKUP($A86,'Pivot rīcības un objekti'!$A$4:$U$193,H$9,FALSE)</f>
        <v>#VALUE!</v>
      </c>
      <c r="I86" s="265" t="e">
        <f>VLOOKUP($A86,'Pivot rīcības un objekti'!$A$4:$U$192,I$9,FALSE)</f>
        <v>#VALUE!</v>
      </c>
      <c r="J86" s="265" t="e">
        <f>VLOOKUP($A86,'Pivot rīcības un objekti'!$A$4:$U$192,J$9,FALSE)</f>
        <v>#VALUE!</v>
      </c>
      <c r="K86" s="293" t="e">
        <f>VLOOKUP(Table4[[#This Row],[Rīcības kods]],'Pivot rīcības un objekti'!$A$4:$T$233,19,FALSE)</f>
        <v>#VALUE!</v>
      </c>
      <c r="L86" s="265">
        <f>VLOOKUP(Table4[[#This Row],[Rīcības kods]],'Pivot rīcības un objekti'!$A$4:$F$232,6,FALSE)</f>
        <v>1</v>
      </c>
      <c r="M86" s="265">
        <f>VLOOKUP(Table4[[#This Row],[Rīcības kods]],'Pivot rīcības un objekti'!$A$4:$F$232,2,FALSE)</f>
        <v>0</v>
      </c>
      <c r="N86" s="266">
        <f>Table4[[#This Row],[Izmaksas, EUR]]+N85</f>
        <v>7707965</v>
      </c>
      <c r="O86" s="268"/>
    </row>
    <row r="87" spans="1:15" ht="40.9" customHeight="1">
      <c r="A87" s="262" t="s">
        <v>254</v>
      </c>
      <c r="B87" s="271" t="s">
        <v>328</v>
      </c>
      <c r="C87" s="264" t="str">
        <f>VLOOKUP(Table4[[#This Row],[Rīcības kods]],Rīcibas_plans!$B$4:$D$234,3,FALSE)</f>
        <v>Pļavniekkalna skolas senkapi pretī zemesgabalam Pļavniekkalnu ielā 20</v>
      </c>
      <c r="D87" s="265" t="e">
        <f>VLOOKUP($A87,'Pivot rīcības un objekti'!$A$4:$U$193,21,FALSE)</f>
        <v>#N/A</v>
      </c>
      <c r="E87" s="265" t="e">
        <f>VLOOKUP($A87,'Pivot rīcības un objekti'!$A$4:$U$193,E$9,FALSE)</f>
        <v>#N/A</v>
      </c>
      <c r="F87" s="265" t="e">
        <f>VLOOKUP($A87,'Pivot rīcības un objekti'!$A$4:$U$193,F$9,FALSE)</f>
        <v>#N/A</v>
      </c>
      <c r="G87" s="265" t="e">
        <f>VLOOKUP($A87,'Pivot rīcības un objekti'!$A$4:$U$193,G$9,FALSE)</f>
        <v>#N/A</v>
      </c>
      <c r="H87" s="265" t="e">
        <f>VLOOKUP($A87,'Pivot rīcības un objekti'!$A$4:$U$193,H$9,FALSE)</f>
        <v>#N/A</v>
      </c>
      <c r="I87" s="265" t="e">
        <f>VLOOKUP($A87,'Pivot rīcības un objekti'!$A$4:$U$192,I$9,FALSE)</f>
        <v>#N/A</v>
      </c>
      <c r="J87" s="265" t="e">
        <f>VLOOKUP($A87,'Pivot rīcības un objekti'!$A$4:$U$192,J$9,FALSE)</f>
        <v>#N/A</v>
      </c>
      <c r="K87" s="293" t="e">
        <f>VLOOKUP(Table4[[#This Row],[Rīcības kods]],'Pivot rīcības un objekti'!$A$4:$T$233,19,FALSE)</f>
        <v>#VALUE!</v>
      </c>
      <c r="L87" s="265">
        <f>VLOOKUP(Table4[[#This Row],[Rīcības kods]],'Pivot rīcības un objekti'!$A$4:$F$232,6,FALSE)</f>
        <v>1</v>
      </c>
      <c r="M87" s="265">
        <f>VLOOKUP(Table4[[#This Row],[Rīcības kods]],'Pivot rīcības un objekti'!$A$4:$F$232,2,FALSE)</f>
        <v>0</v>
      </c>
      <c r="N87" s="266">
        <f>Table4[[#This Row],[Izmaksas, EUR]]+N86</f>
        <v>7707965</v>
      </c>
      <c r="O87" s="267"/>
    </row>
    <row r="88" spans="1:15" ht="40.9" customHeight="1">
      <c r="A88" s="262" t="s">
        <v>49</v>
      </c>
      <c r="B88" s="271" t="s">
        <v>323</v>
      </c>
      <c r="C88" s="264" t="str">
        <f>VLOOKUP(Table4[[#This Row],[Rīcības kods]],Rīcibas_plans!$B$4:$D$234,3,FALSE)</f>
        <v xml:space="preserve">Uzvaras prospekts 1A, Baloži </v>
      </c>
      <c r="D88" s="265" t="str">
        <f>VLOOKUP($A88,'Pivot rīcības un objekti'!$A$4:$U$193,21,FALSE)</f>
        <v>Priekšlaukuma rekonstrukcija, funkcionālā zonējuma izmaiņas - gājēju zona, autostāvlaukums, ieejas zonas, apstādījumu zona.</v>
      </c>
      <c r="E88" s="265">
        <f>VLOOKUP($A88,'Pivot rīcības un objekti'!$A$4:$U$193,E$9,FALSE)</f>
        <v>93</v>
      </c>
      <c r="F88" s="265">
        <f>VLOOKUP($A88,'Pivot rīcības un objekti'!$A$4:$U$193,F$9,FALSE)</f>
        <v>116</v>
      </c>
      <c r="G88" s="265">
        <f>VLOOKUP($A88,'Pivot rīcības un objekti'!$A$4:$U$193,G$9,FALSE)</f>
        <v>127</v>
      </c>
      <c r="H88" s="265" t="e">
        <f>VLOOKUP($A88,'Pivot rīcības un objekti'!$A$4:$U$193,H$9,FALSE)</f>
        <v>#VALUE!</v>
      </c>
      <c r="I88" s="265" t="e">
        <f>VLOOKUP($A88,'Pivot rīcības un objekti'!$A$4:$U$192,I$9,FALSE)</f>
        <v>#VALUE!</v>
      </c>
      <c r="J88" s="265" t="e">
        <f>VLOOKUP($A88,'Pivot rīcības un objekti'!$A$4:$U$192,J$9,FALSE)</f>
        <v>#VALUE!</v>
      </c>
      <c r="K88" s="293" t="e">
        <f>VLOOKUP(Table4[[#This Row],[Rīcības kods]],'Pivot rīcības un objekti'!$A$4:$T$233,19,FALSE)</f>
        <v>#VALUE!</v>
      </c>
      <c r="L88" s="265">
        <f>VLOOKUP(Table4[[#This Row],[Rīcības kods]],'Pivot rīcības un objekti'!$A$4:$F$232,6,FALSE)</f>
        <v>1</v>
      </c>
      <c r="M88" s="265">
        <f>VLOOKUP(Table4[[#This Row],[Rīcības kods]],'Pivot rīcības un objekti'!$A$4:$F$232,2,FALSE)</f>
        <v>0</v>
      </c>
      <c r="N88" s="266">
        <f>Table4[[#This Row],[Izmaksas, EUR]]+N87</f>
        <v>7707965</v>
      </c>
      <c r="O88" s="267"/>
    </row>
    <row r="89" spans="1:15" ht="40.9" customHeight="1">
      <c r="A89" s="262" t="s">
        <v>64</v>
      </c>
      <c r="B89" s="271" t="s">
        <v>323</v>
      </c>
      <c r="C89" s="264" t="str">
        <f>VLOOKUP(Table4[[#This Row],[Rīcības kods]],Rīcibas_plans!$B$4:$D$234,3,FALSE)</f>
        <v>Zaļā iela 4, Zaļā iela , Baloži</v>
      </c>
      <c r="D89" s="265" t="str">
        <f>VLOOKUP($A89,'Pivot rīcības un objekti'!$A$4:$U$193,21,FALSE)</f>
        <v>Koku retināšana, segumi zem bērnu rotaļu laukumiem.</v>
      </c>
      <c r="E89" s="265">
        <f>VLOOKUP($A89,'Pivot rīcības un objekti'!$A$4:$U$193,E$9,FALSE)</f>
        <v>76</v>
      </c>
      <c r="F89" s="265">
        <f>VLOOKUP($A89,'Pivot rīcības un objekti'!$A$4:$U$193,F$9,FALSE)</f>
        <v>62</v>
      </c>
      <c r="G89" s="265">
        <f>VLOOKUP($A89,'Pivot rīcības un objekti'!$A$4:$U$193,G$9,FALSE)</f>
        <v>27</v>
      </c>
      <c r="H89" s="265" t="e">
        <f>VLOOKUP($A89,'Pivot rīcības un objekti'!$A$4:$U$193,H$9,FALSE)</f>
        <v>#VALUE!</v>
      </c>
      <c r="I89" s="265" t="e">
        <f>VLOOKUP($A89,'Pivot rīcības un objekti'!$A$4:$U$192,I$9,FALSE)</f>
        <v>#VALUE!</v>
      </c>
      <c r="J89" s="265" t="e">
        <f>VLOOKUP($A89,'Pivot rīcības un objekti'!$A$4:$U$192,J$9,FALSE)</f>
        <v>#VALUE!</v>
      </c>
      <c r="K89" s="293" t="e">
        <f>VLOOKUP(Table4[[#This Row],[Rīcības kods]],'Pivot rīcības un objekti'!$A$4:$T$233,19,FALSE)</f>
        <v>#VALUE!</v>
      </c>
      <c r="L89" s="265">
        <f>VLOOKUP(Table4[[#This Row],[Rīcības kods]],'Pivot rīcības un objekti'!$A$4:$F$232,6,FALSE)</f>
        <v>1</v>
      </c>
      <c r="M89" s="265">
        <f>VLOOKUP(Table4[[#This Row],[Rīcības kods]],'Pivot rīcības un objekti'!$A$4:$F$232,2,FALSE)</f>
        <v>0</v>
      </c>
      <c r="N89" s="266">
        <f>Table4[[#This Row],[Izmaksas, EUR]]+N88</f>
        <v>7707965</v>
      </c>
      <c r="O89" s="268"/>
    </row>
    <row r="90" spans="1:15" ht="40.9" customHeight="1">
      <c r="A90" s="262" t="s">
        <v>54</v>
      </c>
      <c r="B90" s="271" t="s">
        <v>323</v>
      </c>
      <c r="C90" s="264" t="str">
        <f>VLOOKUP(Table4[[#This Row],[Rīcības kods]],Rīcibas_plans!$B$4:$D$234,3,FALSE)</f>
        <v>Uzvaras prospekta gājēju un velosipēdistu infrastuktūra.</v>
      </c>
      <c r="D90" s="265" t="str">
        <f>VLOOKUP($A90,'Pivot rīcības un objekti'!$A$4:$U$193,21,FALSE)</f>
        <v>Rekonstruēt bojāto ietves segumu, veidot ietves līdz Lapenieku ceļam.</v>
      </c>
      <c r="E90" s="265">
        <f>VLOOKUP($A90,'Pivot rīcības un objekti'!$A$4:$U$193,E$9,FALSE)</f>
        <v>93</v>
      </c>
      <c r="F90" s="265">
        <f>VLOOKUP($A90,'Pivot rīcības un objekti'!$A$4:$U$193,F$9,FALSE)</f>
        <v>95</v>
      </c>
      <c r="G90" s="265">
        <f>VLOOKUP($A90,'Pivot rīcības un objekti'!$A$4:$U$193,G$9,FALSE)</f>
        <v>107</v>
      </c>
      <c r="H90" s="265" t="e">
        <f>VLOOKUP($A90,'Pivot rīcības un objekti'!$A$4:$U$193,H$9,FALSE)</f>
        <v>#VALUE!</v>
      </c>
      <c r="I90" s="265" t="e">
        <f>VLOOKUP($A90,'Pivot rīcības un objekti'!$A$4:$U$192,I$9,FALSE)</f>
        <v>#VALUE!</v>
      </c>
      <c r="J90" s="265" t="e">
        <f>VLOOKUP($A90,'Pivot rīcības un objekti'!$A$4:$U$192,J$9,FALSE)</f>
        <v>#VALUE!</v>
      </c>
      <c r="K90" s="293" t="e">
        <f>VLOOKUP(Table4[[#This Row],[Rīcības kods]],'Pivot rīcības un objekti'!$A$4:$T$233,19,FALSE)</f>
        <v>#VALUE!</v>
      </c>
      <c r="L90" s="265">
        <f>VLOOKUP(Table4[[#This Row],[Rīcības kods]],'Pivot rīcības un objekti'!$A$4:$F$232,6,FALSE)</f>
        <v>1</v>
      </c>
      <c r="M90" s="265">
        <f>VLOOKUP(Table4[[#This Row],[Rīcības kods]],'Pivot rīcības un objekti'!$A$4:$F$232,2,FALSE)</f>
        <v>0</v>
      </c>
      <c r="N90" s="266">
        <f>Table4[[#This Row],[Izmaksas, EUR]]+N89</f>
        <v>7707965</v>
      </c>
      <c r="O90" s="267"/>
    </row>
    <row r="91" spans="1:15" ht="40.9" customHeight="1">
      <c r="A91" s="262" t="s">
        <v>55</v>
      </c>
      <c r="B91" s="271" t="s">
        <v>323</v>
      </c>
      <c r="C91" s="264" t="str">
        <f>VLOOKUP(Table4[[#This Row],[Rīcības kods]],Rīcibas_plans!$B$4:$D$234,3,FALSE)</f>
        <v>Uzvaras prospekta gājēju un velosipēdistu infrastuktūra.</v>
      </c>
      <c r="D91" s="265" t="str">
        <f>VLOOKUP($A91,'Pivot rīcības un objekti'!$A$4:$U$193,21,FALSE)</f>
        <v>Rekonstruēt bojāto ietves segumu, veidot ietves līdz Lapenieku ceļam.</v>
      </c>
      <c r="E91" s="265">
        <f>VLOOKUP($A91,'Pivot rīcības un objekti'!$A$4:$U$193,E$9,FALSE)</f>
        <v>93</v>
      </c>
      <c r="F91" s="265">
        <f>VLOOKUP($A91,'Pivot rīcības un objekti'!$A$4:$U$193,F$9,FALSE)</f>
        <v>134</v>
      </c>
      <c r="G91" s="265">
        <f>VLOOKUP($A91,'Pivot rīcības un objekti'!$A$4:$U$193,G$9,FALSE)</f>
        <v>163</v>
      </c>
      <c r="H91" s="265" t="e">
        <f>VLOOKUP($A91,'Pivot rīcības un objekti'!$A$4:$U$193,H$9,FALSE)</f>
        <v>#VALUE!</v>
      </c>
      <c r="I91" s="265" t="e">
        <f>VLOOKUP($A91,'Pivot rīcības un objekti'!$A$4:$U$192,I$9,FALSE)</f>
        <v>#VALUE!</v>
      </c>
      <c r="J91" s="265" t="e">
        <f>VLOOKUP($A91,'Pivot rīcības un objekti'!$A$4:$U$192,J$9,FALSE)</f>
        <v>#VALUE!</v>
      </c>
      <c r="K91" s="293" t="e">
        <f>VLOOKUP(Table4[[#This Row],[Rīcības kods]],'Pivot rīcības un objekti'!$A$4:$T$233,19,FALSE)</f>
        <v>#VALUE!</v>
      </c>
      <c r="L91" s="265">
        <f>VLOOKUP(Table4[[#This Row],[Rīcības kods]],'Pivot rīcības un objekti'!$A$4:$F$232,6,FALSE)</f>
        <v>1</v>
      </c>
      <c r="M91" s="265">
        <f>VLOOKUP(Table4[[#This Row],[Rīcības kods]],'Pivot rīcības un objekti'!$A$4:$F$232,2,FALSE)</f>
        <v>0</v>
      </c>
      <c r="N91" s="266">
        <f>Table4[[#This Row],[Izmaksas, EUR]]+N90</f>
        <v>7707965</v>
      </c>
      <c r="O91" s="268"/>
    </row>
    <row r="92" spans="1:15" ht="40.9" customHeight="1">
      <c r="A92" s="262" t="s">
        <v>209</v>
      </c>
      <c r="B92" s="271" t="s">
        <v>324</v>
      </c>
      <c r="C92" s="264" t="str">
        <f>VLOOKUP(Table4[[#This Row],[Rīcības kods]],Rīcibas_plans!$B$4:$D$234,3,FALSE)</f>
        <v>Doles Tautas nams. Informatīva norāde, Rīgas iela 26</v>
      </c>
      <c r="D92" s="265" t="str">
        <f>VLOOKUP($A92,'Pivot rīcības un objekti'!$A$4:$U$193,21,FALSE)</f>
        <v>Norādes, zīmes uz Doles Tautas namu. Informācija norādes par Ķekavas kultūras namu</v>
      </c>
      <c r="E92" s="265">
        <f>VLOOKUP($A92,'Pivot rīcības un objekti'!$A$4:$U$193,E$9,FALSE)</f>
        <v>64</v>
      </c>
      <c r="F92" s="265">
        <f>VLOOKUP($A92,'Pivot rīcības un objekti'!$A$4:$U$193,F$9,FALSE)</f>
        <v>43</v>
      </c>
      <c r="G92" s="265">
        <f>VLOOKUP($A92,'Pivot rīcības un objekti'!$A$4:$U$193,G$9,FALSE)</f>
        <v>135</v>
      </c>
      <c r="H92" s="265">
        <f>VLOOKUP($A92,'Pivot rīcības un objekti'!$A$4:$U$193,H$9,FALSE)</f>
        <v>3</v>
      </c>
      <c r="I92" s="265">
        <f>VLOOKUP($A92,'Pivot rīcības un objekti'!$A$4:$U$192,I$9,FALSE)</f>
        <v>1</v>
      </c>
      <c r="J92" s="265">
        <f>VLOOKUP($A92,'Pivot rīcības un objekti'!$A$4:$U$192,J$9,FALSE)</f>
        <v>6</v>
      </c>
      <c r="K92" s="293">
        <f>VLOOKUP(Table4[[#This Row],[Rīcības kods]],'Pivot rīcības un objekti'!$A$4:$T$233,19,FALSE)</f>
        <v>42</v>
      </c>
      <c r="L92" s="265">
        <f>VLOOKUP(Table4[[#This Row],[Rīcības kods]],'Pivot rīcības un objekti'!$A$4:$F$232,6,FALSE)</f>
        <v>1</v>
      </c>
      <c r="M92" s="265">
        <f>VLOOKUP(Table4[[#This Row],[Rīcības kods]],'Pivot rīcības un objekti'!$A$4:$F$232,2,FALSE)</f>
        <v>90</v>
      </c>
      <c r="N92" s="266">
        <f>Table4[[#This Row],[Izmaksas, EUR]]+N91</f>
        <v>7708055</v>
      </c>
      <c r="O92" s="267"/>
    </row>
    <row r="93" spans="1:15" ht="40.9" customHeight="1">
      <c r="A93" s="262" t="s">
        <v>71</v>
      </c>
      <c r="B93" s="271" t="s">
        <v>323</v>
      </c>
      <c r="C93" s="264" t="str">
        <f>VLOOKUP(Table4[[#This Row],[Rīcības kods]],Rīcibas_plans!$B$4:$D$234,3,FALSE)</f>
        <v>Baložu kultūras nama laukums "Varde", Skolas iela 4, Baloži</v>
      </c>
      <c r="D93" s="265" t="str">
        <f>VLOOKUP($A93,'Pivot rīcības un objekti'!$A$4:$U$193,21,FALSE)</f>
        <v>Izvērtēt esošo koku dzīvotspēju un veikt sanitāru tīrīšanu. Atjaunot bērnu rotaļu laukumu segumus.</v>
      </c>
      <c r="E93" s="265">
        <f>VLOOKUP($A93,'Pivot rīcības un objekti'!$A$4:$U$193,E$9,FALSE)</f>
        <v>5</v>
      </c>
      <c r="F93" s="265">
        <f>VLOOKUP($A93,'Pivot rīcības un objekti'!$A$4:$U$193,F$9,FALSE)</f>
        <v>15</v>
      </c>
      <c r="G93" s="265">
        <f>VLOOKUP($A93,'Pivot rīcības un objekti'!$A$4:$U$193,G$9,FALSE)</f>
        <v>8</v>
      </c>
      <c r="H93" s="265">
        <f>VLOOKUP($A93,'Pivot rīcības un objekti'!$A$4:$U$193,H$9,FALSE)</f>
        <v>8</v>
      </c>
      <c r="I93" s="265">
        <f>VLOOKUP($A93,'Pivot rīcības un objekti'!$A$4:$U$192,I$9,FALSE)</f>
        <v>7</v>
      </c>
      <c r="J93" s="265">
        <f>VLOOKUP($A93,'Pivot rīcības un objekti'!$A$4:$U$192,J$9,FALSE)</f>
        <v>5</v>
      </c>
      <c r="K93" s="293">
        <f>VLOOKUP(Table4[[#This Row],[Rīcības kods]],'Pivot rīcības un objekti'!$A$4:$T$233,19,FALSE)</f>
        <v>8</v>
      </c>
      <c r="L93" s="265">
        <f>VLOOKUP(Table4[[#This Row],[Rīcības kods]],'Pivot rīcības un objekti'!$A$4:$F$232,6,FALSE)</f>
        <v>2</v>
      </c>
      <c r="M93" s="265">
        <f>VLOOKUP(Table4[[#This Row],[Rīcības kods]],'Pivot rīcības un objekti'!$A$4:$F$232,2,FALSE)</f>
        <v>1500</v>
      </c>
      <c r="N93" s="266">
        <f>Table4[[#This Row],[Izmaksas, EUR]]+N92</f>
        <v>7709555</v>
      </c>
      <c r="O93" s="267"/>
    </row>
    <row r="94" spans="1:15" ht="40.9" customHeight="1">
      <c r="A94" s="262" t="s">
        <v>69</v>
      </c>
      <c r="B94" s="271" t="s">
        <v>323</v>
      </c>
      <c r="C94" s="264" t="str">
        <f>VLOOKUP(Table4[[#This Row],[Rīcības kods]],Rīcibas_plans!$B$4:$D$234,3,FALSE)</f>
        <v>Baložu pilsētas mobilitātes punkta izveide (Purva iela 2/4)</v>
      </c>
      <c r="D94" s="265" t="str">
        <f>VLOOKUP($A94,'Pivot rīcības un objekti'!$A$4:$U$193,21,FALSE)</f>
        <v>Pilsētas mobilitātes punkta izveide</v>
      </c>
      <c r="E94" s="265">
        <f>VLOOKUP($A94,'Pivot rīcības un objekti'!$A$4:$U$193,E$9,FALSE)</f>
        <v>5</v>
      </c>
      <c r="F94" s="265">
        <f>VLOOKUP($A94,'Pivot rīcības un objekti'!$A$4:$U$193,F$9,FALSE)</f>
        <v>7</v>
      </c>
      <c r="G94" s="265">
        <f>VLOOKUP($A94,'Pivot rīcības un objekti'!$A$4:$U$193,G$9,FALSE)</f>
        <v>8</v>
      </c>
      <c r="H94" s="265">
        <f>VLOOKUP($A94,'Pivot rīcības un objekti'!$A$4:$U$193,H$9,FALSE)</f>
        <v>47</v>
      </c>
      <c r="I94" s="265">
        <f>VLOOKUP($A94,'Pivot rīcības un objekti'!$A$4:$U$192,I$9,FALSE)</f>
        <v>28</v>
      </c>
      <c r="J94" s="265">
        <f>VLOOKUP($A94,'Pivot rīcības un objekti'!$A$4:$U$192,J$9,FALSE)</f>
        <v>22</v>
      </c>
      <c r="K94" s="293">
        <f>VLOOKUP(Table4[[#This Row],[Rīcības kods]],'Pivot rīcības un objekti'!$A$4:$T$233,19,FALSE)</f>
        <v>19.5</v>
      </c>
      <c r="L94" s="265">
        <f>VLOOKUP(Table4[[#This Row],[Rīcības kods]],'Pivot rīcības un objekti'!$A$4:$F$232,6,FALSE)</f>
        <v>2</v>
      </c>
      <c r="M94" s="266">
        <f>VLOOKUP(Table4[[#This Row],[Rīcības kods]],'Pivot rīcības un objekti'!$A$4:$F$232,2,FALSE)</f>
        <v>60000</v>
      </c>
      <c r="N94" s="266">
        <f>Table4[[#This Row],[Izmaksas, EUR]]+N93</f>
        <v>7769555</v>
      </c>
      <c r="O94" s="268"/>
    </row>
    <row r="95" spans="1:15" ht="28.9" customHeight="1">
      <c r="A95" s="262" t="s">
        <v>116</v>
      </c>
      <c r="B95" s="271" t="s">
        <v>293</v>
      </c>
      <c r="C95" s="264" t="str">
        <f>VLOOKUP(Table4[[#This Row],[Rīcības kods]],Rīcibas_plans!$B$4:$D$234,3,FALSE)</f>
        <v>Baldones dīķa atpūtas vieta "Saliņas"</v>
      </c>
      <c r="D95" s="265" t="str">
        <f>VLOOKUP($A95,'Pivot rīcības un objekti'!$A$4:$U$193,21,FALSE)</f>
        <v>Atpūtas vietas pie ūdens labiekārtošana. Potenciāla bērnu laukuma vietas izveide</v>
      </c>
      <c r="E95" s="265">
        <f>VLOOKUP($A95,'Pivot rīcības un objekti'!$A$4:$U$193,E$9,FALSE)</f>
        <v>40</v>
      </c>
      <c r="F95" s="265">
        <f>VLOOKUP($A95,'Pivot rīcības un objekti'!$A$4:$U$193,F$9,FALSE)</f>
        <v>87</v>
      </c>
      <c r="G95" s="265">
        <f>VLOOKUP($A95,'Pivot rīcības un objekti'!$A$4:$U$193,G$9,FALSE)</f>
        <v>31</v>
      </c>
      <c r="H95" s="265">
        <f>VLOOKUP($A95,'Pivot rīcības un objekti'!$A$4:$U$193,H$9,FALSE)</f>
        <v>18</v>
      </c>
      <c r="I95" s="265">
        <f>VLOOKUP($A95,'Pivot rīcības un objekti'!$A$4:$U$192,I$9,FALSE)</f>
        <v>34</v>
      </c>
      <c r="J95" s="265">
        <f>VLOOKUP($A95,'Pivot rīcības un objekti'!$A$4:$U$192,J$9,FALSE)</f>
        <v>11</v>
      </c>
      <c r="K95" s="293">
        <f>VLOOKUP(Table4[[#This Row],[Rīcības kods]],'Pivot rīcības un objekti'!$A$4:$T$233,19,FALSE)</f>
        <v>36.833333333333336</v>
      </c>
      <c r="L95" s="265">
        <f>VLOOKUP(Table4[[#This Row],[Rīcības kods]],'Pivot rīcības un objekti'!$A$4:$F$232,6,FALSE)</f>
        <v>2</v>
      </c>
      <c r="M95" s="265">
        <f>VLOOKUP(Table4[[#This Row],[Rīcības kods]],'Pivot rīcības un objekti'!$A$4:$F$232,2,FALSE)</f>
        <v>7160</v>
      </c>
      <c r="N95" s="266">
        <f>Table4[[#This Row],[Izmaksas, EUR]]+N94</f>
        <v>7776715</v>
      </c>
      <c r="O95" s="267"/>
    </row>
    <row r="96" spans="1:15" ht="42" customHeight="1">
      <c r="A96" s="262" t="s">
        <v>76</v>
      </c>
      <c r="B96" s="271" t="s">
        <v>323</v>
      </c>
      <c r="C96" s="264" t="str">
        <f>VLOOKUP(Table4[[#This Row],[Rīcības kods]],Rīcibas_plans!$B$4:$D$234,3,FALSE)</f>
        <v xml:space="preserve">Mežaparka zona, Titurgas ezera atpūtas vieta pie ūdens Baloži, Ezera iela 7 </v>
      </c>
      <c r="D96" s="265" t="str">
        <f>VLOOKUP($A96,'Pivot rīcības un objekti'!$A$4:$U$193,21,FALSE)</f>
        <v>Gājēju ceļu tīkls, savienojums starp pludmalēm. Savstarpēji saskaņots labiekārtojuma elementu dizains</v>
      </c>
      <c r="E96" s="265">
        <f>VLOOKUP($A96,'Pivot rīcības un objekti'!$A$4:$U$193,E$9,FALSE)</f>
        <v>2</v>
      </c>
      <c r="F96" s="265">
        <f>VLOOKUP($A96,'Pivot rīcības un objekti'!$A$4:$U$193,F$9,FALSE)</f>
        <v>35</v>
      </c>
      <c r="G96" s="265">
        <f>VLOOKUP($A96,'Pivot rīcības un objekti'!$A$4:$U$193,G$9,FALSE)</f>
        <v>2</v>
      </c>
      <c r="H96" s="265">
        <f>VLOOKUP($A96,'Pivot rīcības un objekti'!$A$4:$U$193,H$9,FALSE)</f>
        <v>104</v>
      </c>
      <c r="I96" s="265">
        <f>VLOOKUP($A96,'Pivot rīcības un objekti'!$A$4:$U$192,I$9,FALSE)</f>
        <v>114</v>
      </c>
      <c r="J96" s="265">
        <f>VLOOKUP($A96,'Pivot rīcības un objekti'!$A$4:$U$192,J$9,FALSE)</f>
        <v>67</v>
      </c>
      <c r="K96" s="293">
        <f>VLOOKUP(Table4[[#This Row],[Rīcības kods]],'Pivot rīcības un objekti'!$A$4:$T$233,19,FALSE)</f>
        <v>54</v>
      </c>
      <c r="L96" s="265">
        <f>VLOOKUP(Table4[[#This Row],[Rīcības kods]],'Pivot rīcības un objekti'!$A$4:$F$232,6,FALSE)</f>
        <v>2</v>
      </c>
      <c r="M96" s="265">
        <f>VLOOKUP(Table4[[#This Row],[Rīcības kods]],'Pivot rīcības un objekti'!$A$4:$F$232,2,FALSE)</f>
        <v>390000</v>
      </c>
      <c r="N96" s="266">
        <f>Table4[[#This Row],[Izmaksas, EUR]]+N95</f>
        <v>8166715</v>
      </c>
      <c r="O96" s="278"/>
    </row>
    <row r="97" spans="1:16" ht="36.6" customHeight="1">
      <c r="A97" s="262" t="s">
        <v>236</v>
      </c>
      <c r="B97" s="271" t="s">
        <v>324</v>
      </c>
      <c r="C97" s="264" t="str">
        <f>VLOOKUP(Table4[[#This Row],[Rīcības kods]],Rīcibas_plans!$B$4:$D$234,3,FALSE)</f>
        <v>Ķekavas parks K-krasts, Gaismas iela 7B (80700082650)</v>
      </c>
      <c r="D97" s="265" t="str">
        <f>VLOOKUP($A97,'Pivot rīcības un objekti'!$A$4:$U$193,21,FALSE)</f>
        <v>Gājēju ceļu izbūve, veidojot savienojumus ar citām rekreācijas teritorijām</v>
      </c>
      <c r="E97" s="265">
        <f>VLOOKUP($A97,'Pivot rīcības un objekti'!$A$4:$U$193,E$9,FALSE)</f>
        <v>23</v>
      </c>
      <c r="F97" s="265">
        <f>VLOOKUP($A97,'Pivot rīcības un objekti'!$A$4:$U$193,F$9,FALSE)</f>
        <v>54</v>
      </c>
      <c r="G97" s="265">
        <f>VLOOKUP($A97,'Pivot rīcības un objekti'!$A$4:$U$193,G$9,FALSE)</f>
        <v>22</v>
      </c>
      <c r="H97" s="265">
        <f>VLOOKUP($A97,'Pivot rīcības un objekti'!$A$4:$U$193,H$9,FALSE)</f>
        <v>85</v>
      </c>
      <c r="I97" s="265" t="e">
        <f>VLOOKUP($A97,'Pivot rīcības un objekti'!$A$4:$U$192,I$9,FALSE)</f>
        <v>#N/A</v>
      </c>
      <c r="J97" s="265" t="e">
        <f>VLOOKUP($A97,'Pivot rīcības un objekti'!$A$4:$U$192,J$9,FALSE)</f>
        <v>#N/A</v>
      </c>
      <c r="K97" s="293">
        <f>VLOOKUP(Table4[[#This Row],[Rīcības kods]],'Pivot rīcības un objekti'!$A$4:$T$233,19,FALSE)</f>
        <v>56.5</v>
      </c>
      <c r="L97" s="265">
        <f>VLOOKUP(Table4[[#This Row],[Rīcības kods]],'Pivot rīcības un objekti'!$A$4:$F$232,6,FALSE)</f>
        <v>2</v>
      </c>
      <c r="M97" s="265">
        <f>VLOOKUP(Table4[[#This Row],[Rīcības kods]],'Pivot rīcības un objekti'!$A$4:$F$232,2,FALSE)</f>
        <v>137500</v>
      </c>
      <c r="N97" s="266">
        <f>Table4[[#This Row],[Izmaksas, EUR]]+N96</f>
        <v>8304215</v>
      </c>
      <c r="O97" s="335"/>
    </row>
    <row r="98" spans="1:16" ht="40.9" customHeight="1">
      <c r="A98" s="262" t="s">
        <v>114</v>
      </c>
      <c r="B98" s="271" t="s">
        <v>293</v>
      </c>
      <c r="C98" s="264" t="str">
        <f>VLOOKUP(Table4[[#This Row],[Rīcības kods]],Rīcibas_plans!$B$4:$D$234,3,FALSE)</f>
        <v>Sabiedriskā transporta gala pietura "Baldone" teritorija,
Rīgas iela 91, Baldone</v>
      </c>
      <c r="D98" s="265" t="str">
        <f>VLOOKUP($A98,'Pivot rīcības un objekti'!$A$4:$U$193,21,FALSE)</f>
        <v>Veikt pieturas pārbūvi veidojot kā L tipa pieturu. Segumu atjaunošana. Norādes, velo novietnes, labiekārtojuma elementi,utt.</v>
      </c>
      <c r="E98" s="265">
        <f>VLOOKUP($A98,'Pivot rīcības un objekti'!$A$4:$U$193,E$9,FALSE)</f>
        <v>91</v>
      </c>
      <c r="F98" s="265">
        <f>VLOOKUP($A98,'Pivot rīcības un objekti'!$A$4:$U$193,F$9,FALSE)</f>
        <v>58</v>
      </c>
      <c r="G98" s="265">
        <f>VLOOKUP($A98,'Pivot rīcības un objekti'!$A$4:$U$193,G$9,FALSE)</f>
        <v>94</v>
      </c>
      <c r="H98" s="265">
        <f>VLOOKUP($A98,'Pivot rīcības un objekti'!$A$4:$U$193,H$9,FALSE)</f>
        <v>49</v>
      </c>
      <c r="I98" s="265">
        <f>VLOOKUP($A98,'Pivot rīcības un objekti'!$A$4:$U$192,I$9,FALSE)</f>
        <v>31</v>
      </c>
      <c r="J98" s="265">
        <f>VLOOKUP($A98,'Pivot rīcības un objekti'!$A$4:$U$192,J$9,FALSE)</f>
        <v>48</v>
      </c>
      <c r="K98" s="293">
        <f>VLOOKUP(Table4[[#This Row],[Rīcības kods]],'Pivot rīcības un objekti'!$A$4:$T$233,19,FALSE)</f>
        <v>61.833333333333336</v>
      </c>
      <c r="L98" s="265">
        <f>VLOOKUP(Table4[[#This Row],[Rīcības kods]],'Pivot rīcības un objekti'!$A$4:$F$232,6,FALSE)</f>
        <v>2</v>
      </c>
      <c r="M98" s="265">
        <f>VLOOKUP(Table4[[#This Row],[Rīcības kods]],'Pivot rīcības un objekti'!$A$4:$F$232,2,FALSE)</f>
        <v>13080</v>
      </c>
      <c r="N98" s="266">
        <f>Table4[[#This Row],[Izmaksas, EUR]]+N97</f>
        <v>8317295</v>
      </c>
      <c r="O98" s="268"/>
    </row>
    <row r="99" spans="1:16" ht="40.9" customHeight="1">
      <c r="A99" s="262" t="s">
        <v>208</v>
      </c>
      <c r="B99" s="271" t="s">
        <v>328</v>
      </c>
      <c r="C99" s="264" t="str">
        <f>VLOOKUP(Table4[[#This Row],[Rīcības kods]],Rīcibas_plans!$B$4:$D$234,3,FALSE)</f>
        <v>No Plavniekkalna ielas pieturas līdz Naudītes ielai</v>
      </c>
      <c r="D99" s="265" t="str">
        <f>VLOOKUP($A99,'Pivot rīcības un objekti'!$A$4:$U$193,21,FALSE)</f>
        <v>Papildināt A7 šosejas malas ar lietišķās atpūtas vietām (s tipa)</v>
      </c>
      <c r="E99" s="265">
        <f>VLOOKUP($A99,'Pivot rīcības un objekti'!$A$4:$U$193,E$9,FALSE)</f>
        <v>93</v>
      </c>
      <c r="F99" s="265">
        <f>VLOOKUP($A99,'Pivot rīcības un objekti'!$A$4:$U$193,F$9,FALSE)</f>
        <v>77</v>
      </c>
      <c r="G99" s="265">
        <f>VLOOKUP($A99,'Pivot rīcības un objekti'!$A$4:$U$193,G$9,FALSE)</f>
        <v>76</v>
      </c>
      <c r="H99" s="265">
        <f>VLOOKUP($A99,'Pivot rīcības un objekti'!$A$4:$U$193,H$9,FALSE)</f>
        <v>52</v>
      </c>
      <c r="I99" s="265">
        <f>VLOOKUP($A99,'Pivot rīcības un objekti'!$A$4:$U$192,I$9,FALSE)</f>
        <v>38</v>
      </c>
      <c r="J99" s="265">
        <f>VLOOKUP($A99,'Pivot rīcības un objekti'!$A$4:$U$192,J$9,FALSE)</f>
        <v>39</v>
      </c>
      <c r="K99" s="293">
        <f>VLOOKUP(Table4[[#This Row],[Rīcības kods]],'Pivot rīcības un objekti'!$A$4:$T$233,19,FALSE)</f>
        <v>62.5</v>
      </c>
      <c r="L99" s="265">
        <f>VLOOKUP(Table4[[#This Row],[Rīcības kods]],'Pivot rīcības un objekti'!$A$4:$F$232,6,FALSE)</f>
        <v>2</v>
      </c>
      <c r="M99" s="265">
        <f>VLOOKUP(Table4[[#This Row],[Rīcības kods]],'Pivot rīcības un objekti'!$A$4:$F$232,2,FALSE)</f>
        <v>11060</v>
      </c>
      <c r="N99" s="266">
        <f>Table4[[#This Row],[Izmaksas, EUR]]+N98</f>
        <v>8328355</v>
      </c>
      <c r="O99" s="268"/>
    </row>
    <row r="100" spans="1:16" ht="40.9" customHeight="1">
      <c r="A100" s="262" t="s">
        <v>229</v>
      </c>
      <c r="B100" s="271" t="s">
        <v>324</v>
      </c>
      <c r="C100" s="264" t="str">
        <f>VLOOKUP(Table4[[#This Row],[Rīcības kods]],Rīcibas_plans!$B$4:$D$234,3,FALSE)</f>
        <v xml:space="preserve">Liela mēroga galda spēļu izvietošana 3 vietās novadā </v>
      </c>
      <c r="D100" s="265" t="str">
        <f>VLOOKUP($A100,'Pivot rīcības un objekti'!$A$4:$U$193,21,FALSE)</f>
        <v xml:space="preserve">Izvietot liela mēroga galda spēles kā galda teniss, šahs. Piemērots izvietošanai nelielos skvēros vai L un XL tipa rotaļu laukumos. </v>
      </c>
      <c r="E100" s="265">
        <f>VLOOKUP($A100,'Pivot rīcības un objekti'!$A$4:$U$193,E$9,FALSE)</f>
        <v>76</v>
      </c>
      <c r="F100" s="265">
        <f>VLOOKUP($A100,'Pivot rīcības un objekti'!$A$4:$U$193,F$9,FALSE)</f>
        <v>121</v>
      </c>
      <c r="G100" s="265">
        <f>VLOOKUP($A100,'Pivot rīcības un objekti'!$A$4:$U$193,G$9,FALSE)</f>
        <v>92</v>
      </c>
      <c r="H100" s="265">
        <f>VLOOKUP($A100,'Pivot rīcības un objekti'!$A$4:$U$193,H$9,FALSE)</f>
        <v>29</v>
      </c>
      <c r="I100" s="265">
        <f>VLOOKUP($A100,'Pivot rīcības un objekti'!$A$4:$U$192,I$9,FALSE)</f>
        <v>48</v>
      </c>
      <c r="J100" s="265">
        <f>VLOOKUP($A100,'Pivot rīcības un objekti'!$A$4:$U$192,J$9,FALSE)</f>
        <v>32</v>
      </c>
      <c r="K100" s="293">
        <f>VLOOKUP(Table4[[#This Row],[Rīcības kods]],'Pivot rīcības un objekti'!$A$4:$T$233,19,FALSE)</f>
        <v>66.333333333333329</v>
      </c>
      <c r="L100" s="265">
        <f>VLOOKUP(Table4[[#This Row],[Rīcības kods]],'Pivot rīcības un objekti'!$A$4:$F$232,6,FALSE)</f>
        <v>2</v>
      </c>
      <c r="M100" s="266">
        <f>VLOOKUP(Table4[[#This Row],[Rīcības kods]],'Pivot rīcības un objekti'!$A$4:$F$232,2,FALSE)</f>
        <v>6525</v>
      </c>
      <c r="N100" s="266">
        <f>Table4[[#This Row],[Izmaksas, EUR]]+N99</f>
        <v>8334880</v>
      </c>
      <c r="O100" s="268"/>
    </row>
    <row r="101" spans="1:16" ht="40.9" customHeight="1">
      <c r="A101" s="262" t="s">
        <v>227</v>
      </c>
      <c r="B101" s="271" t="s">
        <v>324</v>
      </c>
      <c r="C101" s="264" t="str">
        <f>VLOOKUP(Table4[[#This Row],[Rīcības kods]],Rīcibas_plans!$B$4:$D$234,3,FALSE)</f>
        <v> Ķekavas sākumskola, Nākotnes iela 1A, Nākotnes iela 3, Dienvidu iela 3</v>
      </c>
      <c r="D101" s="265" t="str">
        <f>VLOOKUP($A101,'Pivot rīcības un objekti'!$A$4:$U$193,21,FALSE)</f>
        <v>Papildināt ar koku stādijumiem</v>
      </c>
      <c r="E101" s="265">
        <f>VLOOKUP($A101,'Pivot rīcības un objekti'!$A$4:$U$193,E$9,FALSE)</f>
        <v>76</v>
      </c>
      <c r="F101" s="265">
        <f>VLOOKUP($A101,'Pivot rīcības un objekti'!$A$4:$U$193,F$9,FALSE)</f>
        <v>87</v>
      </c>
      <c r="G101" s="265">
        <f>VLOOKUP($A101,'Pivot rīcības un objekti'!$A$4:$U$193,G$9,FALSE)</f>
        <v>147</v>
      </c>
      <c r="H101" s="265">
        <f>VLOOKUP($A101,'Pivot rīcības un objekti'!$A$4:$U$193,H$9,FALSE)</f>
        <v>22</v>
      </c>
      <c r="I101" s="265">
        <f>VLOOKUP($A101,'Pivot rīcības un objekti'!$A$4:$U$192,I$9,FALSE)</f>
        <v>27</v>
      </c>
      <c r="J101" s="265">
        <f>VLOOKUP($A101,'Pivot rīcības un objekti'!$A$4:$U$192,J$9,FALSE)</f>
        <v>50</v>
      </c>
      <c r="K101" s="293">
        <f>VLOOKUP(Table4[[#This Row],[Rīcības kods]],'Pivot rīcības un objekti'!$A$4:$T$233,19,FALSE)</f>
        <v>68.166666666666671</v>
      </c>
      <c r="L101" s="265">
        <f>VLOOKUP(Table4[[#This Row],[Rīcības kods]],'Pivot rīcības un objekti'!$A$4:$F$232,6,FALSE)</f>
        <v>2</v>
      </c>
      <c r="M101" s="265">
        <f>VLOOKUP(Table4[[#This Row],[Rīcības kods]],'Pivot rīcības un objekti'!$A$4:$F$232,2,FALSE)</f>
        <v>4500</v>
      </c>
      <c r="N101" s="266">
        <f>Table4[[#This Row],[Izmaksas, EUR]]+N100</f>
        <v>8339380</v>
      </c>
      <c r="O101" s="268"/>
      <c r="P101" s="60"/>
    </row>
    <row r="102" spans="1:16" ht="37.15" customHeight="1">
      <c r="A102" s="262" t="s">
        <v>72</v>
      </c>
      <c r="B102" s="271" t="s">
        <v>323</v>
      </c>
      <c r="C102" s="264" t="str">
        <f>VLOOKUP(Table4[[#This Row],[Rīcības kods]],Rīcibas_plans!$B$4:$D$234,3,FALSE)</f>
        <v>Baložu kultūras nama laukums "Varde", Skolas iela 4, Baloži</v>
      </c>
      <c r="D102" s="265" t="str">
        <f>VLOOKUP($A102,'Pivot rīcības un objekti'!$A$4:$U$193,21,FALSE)</f>
        <v>Izvērtēt esošo koku dzīvotspēju un veikt sanitāru tīrīšanu. Atjaunot bērnu rotaļu laukumu segumus.</v>
      </c>
      <c r="E102" s="265">
        <f>VLOOKUP($A102,'Pivot rīcības un objekti'!$A$4:$U$193,E$9,FALSE)</f>
        <v>55</v>
      </c>
      <c r="F102" s="265">
        <f>VLOOKUP($A102,'Pivot rīcības un objekti'!$A$4:$U$193,F$9,FALSE)</f>
        <v>41</v>
      </c>
      <c r="G102" s="265">
        <f>VLOOKUP($A102,'Pivot rīcības un objekti'!$A$4:$U$193,G$9,FALSE)</f>
        <v>13</v>
      </c>
      <c r="H102" s="265">
        <f>VLOOKUP($A102,'Pivot rīcības un objekti'!$A$4:$U$193,H$9,FALSE)</f>
        <v>128</v>
      </c>
      <c r="I102" s="265">
        <f>VLOOKUP($A102,'Pivot rīcības un objekti'!$A$4:$U$192,I$9,FALSE)</f>
        <v>109</v>
      </c>
      <c r="J102" s="265">
        <f>VLOOKUP($A102,'Pivot rīcības un objekti'!$A$4:$U$192,J$9,FALSE)</f>
        <v>75</v>
      </c>
      <c r="K102" s="293">
        <f>VLOOKUP(Table4[[#This Row],[Rīcības kods]],'Pivot rīcības un objekti'!$A$4:$T$233,19,FALSE)</f>
        <v>70.166666666666671</v>
      </c>
      <c r="L102" s="265">
        <f>VLOOKUP(Table4[[#This Row],[Rīcības kods]],'Pivot rīcības un objekti'!$A$4:$F$232,6,FALSE)</f>
        <v>2</v>
      </c>
      <c r="M102" s="265">
        <f>VLOOKUP(Table4[[#This Row],[Rīcības kods]],'Pivot rīcības un objekti'!$A$4:$F$232,2,FALSE)</f>
        <v>300000</v>
      </c>
      <c r="N102" s="266">
        <f>Table4[[#This Row],[Izmaksas, EUR]]+N101</f>
        <v>8639380</v>
      </c>
      <c r="O102" s="335"/>
    </row>
    <row r="103" spans="1:16" ht="44.25" customHeight="1">
      <c r="A103" s="262" t="s">
        <v>206</v>
      </c>
      <c r="B103" s="271" t="s">
        <v>341</v>
      </c>
      <c r="C103" s="264" t="str">
        <f>VLOOKUP(Table4[[#This Row],[Rīcības kods]],Rīcibas_plans!$B$4:$D$234,3,FALSE)</f>
        <v>Akotu ielas gājēju un velosipēdu infrasturktūra</v>
      </c>
      <c r="D103" s="265" t="str">
        <f>VLOOKUP($A103,'Pivot rīcības un objekti'!$A$4:$U$193,21,FALSE)</f>
        <v>Apgaismotas gājēju ietves izbūve (dzīvojamās zonas, gājēju prioritārās zonas noteikšana) no A7- tilts pāri Titurgas upei - Pļavniekkalna iela. Lietišķās atpūtas vietu izvietošana (S tips).</v>
      </c>
      <c r="E103" s="265">
        <f>VLOOKUP($A103,'Pivot rīcības un objekti'!$A$4:$U$193,E$9,FALSE)</f>
        <v>93</v>
      </c>
      <c r="F103" s="265">
        <f>VLOOKUP($A103,'Pivot rīcības un objekti'!$A$4:$U$193,F$9,FALSE)</f>
        <v>77</v>
      </c>
      <c r="G103" s="265">
        <f>VLOOKUP($A103,'Pivot rīcības un objekti'!$A$4:$U$193,G$9,FALSE)</f>
        <v>124</v>
      </c>
      <c r="H103" s="265">
        <f>VLOOKUP($A103,'Pivot rīcības un objekti'!$A$4:$U$193,H$9,FALSE)</f>
        <v>52</v>
      </c>
      <c r="I103" s="265">
        <f>VLOOKUP($A103,'Pivot rīcības un objekti'!$A$4:$U$192,I$9,FALSE)</f>
        <v>38</v>
      </c>
      <c r="J103" s="265">
        <f>VLOOKUP($A103,'Pivot rīcības un objekti'!$A$4:$U$192,J$9,FALSE)</f>
        <v>55</v>
      </c>
      <c r="K103" s="293">
        <f>VLOOKUP(Table4[[#This Row],[Rīcības kods]],'Pivot rīcības un objekti'!$A$4:$T$233,19,FALSE)</f>
        <v>73.166666666666671</v>
      </c>
      <c r="L103" s="265">
        <f>VLOOKUP(Table4[[#This Row],[Rīcības kods]],'Pivot rīcības un objekti'!$A$4:$F$232,6,FALSE)</f>
        <v>2</v>
      </c>
      <c r="M103" s="265">
        <f>VLOOKUP(Table4[[#This Row],[Rīcības kods]],'Pivot rīcības un objekti'!$A$4:$F$232,2,FALSE)</f>
        <v>11060</v>
      </c>
      <c r="N103" s="266">
        <f>Table4[[#This Row],[Izmaksas, EUR]]+N102</f>
        <v>8650440</v>
      </c>
      <c r="O103" s="268"/>
    </row>
    <row r="104" spans="1:16" ht="28.15">
      <c r="A104" s="262" t="s">
        <v>147</v>
      </c>
      <c r="B104" s="271" t="s">
        <v>329</v>
      </c>
      <c r="C104" s="264" t="str">
        <f>VLOOKUP(Table4[[#This Row],[Rīcības kods]],Rīcibas_plans!$B$4:$D$234,3,FALSE)</f>
        <v>Atpūtas vieta pie ūdens pretī Nāvessalai (Ķīķerītis)</v>
      </c>
      <c r="D104" s="265" t="str">
        <f>VLOOKUP($A104,'Pivot rīcības un objekti'!$A$4:$U$193,21,FALSE)</f>
        <v>Laivu piestātnes izbūve Nāvessalas ceļa galā</v>
      </c>
      <c r="E104" s="265">
        <f>VLOOKUP($A104,'Pivot rīcības un objekti'!$A$4:$U$193,E$9,FALSE)</f>
        <v>93</v>
      </c>
      <c r="F104" s="265">
        <f>VLOOKUP($A104,'Pivot rīcības un objekti'!$A$4:$U$193,F$9,FALSE)</f>
        <v>155</v>
      </c>
      <c r="G104" s="265">
        <f>VLOOKUP($A104,'Pivot rīcības un objekti'!$A$4:$U$193,G$9,FALSE)</f>
        <v>76</v>
      </c>
      <c r="H104" s="265">
        <f>VLOOKUP($A104,'Pivot rīcības un objekti'!$A$4:$U$193,H$9,FALSE)</f>
        <v>64</v>
      </c>
      <c r="I104" s="265">
        <f>VLOOKUP($A104,'Pivot rīcības un objekti'!$A$4:$U$192,I$9,FALSE)</f>
        <v>98</v>
      </c>
      <c r="J104" s="265">
        <f>VLOOKUP($A104,'Pivot rīcības un objekti'!$A$4:$U$192,J$9,FALSE)</f>
        <v>47</v>
      </c>
      <c r="K104" s="293">
        <f>VLOOKUP(Table4[[#This Row],[Rīcības kods]],'Pivot rīcības un objekti'!$A$4:$T$233,19,FALSE)</f>
        <v>88.833333333333329</v>
      </c>
      <c r="L104" s="265">
        <f>VLOOKUP(Table4[[#This Row],[Rīcības kods]],'Pivot rīcības un objekti'!$A$4:$F$232,6,FALSE)</f>
        <v>2</v>
      </c>
      <c r="M104" s="265">
        <f>VLOOKUP(Table4[[#This Row],[Rīcības kods]],'Pivot rīcības un objekti'!$A$4:$F$232,2,FALSE)</f>
        <v>15000</v>
      </c>
      <c r="N104" s="266">
        <f>Table4[[#This Row],[Izmaksas, EUR]]+N103</f>
        <v>8665440</v>
      </c>
      <c r="O104" s="267"/>
    </row>
    <row r="105" spans="1:16" ht="42">
      <c r="A105" s="262" t="s">
        <v>112</v>
      </c>
      <c r="B105" s="271" t="s">
        <v>293</v>
      </c>
      <c r="C105" s="264" t="str">
        <f>VLOOKUP(Table4[[#This Row],[Rīcības kods]],Rīcibas_plans!$B$4:$D$234,3,FALSE)</f>
        <v>Sabiedriskā transporta pietura "Baznīca" pie centrālā skvēra, Daugavas iela 2, Baldone</v>
      </c>
      <c r="D105" s="265" t="str">
        <f>VLOOKUP($A105,'Pivot rīcības un objekti'!$A$4:$U$193,21,FALSE)</f>
        <v>Nojumes izbūve</v>
      </c>
      <c r="E105" s="265">
        <f>VLOOKUP($A105,'Pivot rīcības un objekti'!$A$4:$U$193,E$9,FALSE)</f>
        <v>64</v>
      </c>
      <c r="F105" s="265">
        <f>VLOOKUP($A105,'Pivot rīcības un objekti'!$A$4:$U$193,F$9,FALSE)</f>
        <v>116</v>
      </c>
      <c r="G105" s="265">
        <f>VLOOKUP($A105,'Pivot rīcības un objekti'!$A$4:$U$193,G$9,FALSE)</f>
        <v>189</v>
      </c>
      <c r="H105" s="265">
        <f>VLOOKUP($A105,'Pivot rīcības un objekti'!$A$4:$U$193,H$9,FALSE)</f>
        <v>26</v>
      </c>
      <c r="I105" s="265">
        <f>VLOOKUP($A105,'Pivot rīcības un objekti'!$A$4:$U$192,I$9,FALSE)</f>
        <v>47</v>
      </c>
      <c r="J105" s="265">
        <f>VLOOKUP($A105,'Pivot rīcības un objekti'!$A$4:$U$192,J$9,FALSE)</f>
        <v>103</v>
      </c>
      <c r="K105" s="293">
        <f>VLOOKUP(Table4[[#This Row],[Rīcības kods]],'Pivot rīcības un objekti'!$A$4:$T$233,19,FALSE)</f>
        <v>90.833333333333329</v>
      </c>
      <c r="L105" s="265">
        <f>VLOOKUP(Table4[[#This Row],[Rīcības kods]],'Pivot rīcības un objekti'!$A$4:$F$232,6,FALSE)</f>
        <v>2</v>
      </c>
      <c r="M105" s="265">
        <f>VLOOKUP(Table4[[#This Row],[Rīcības kods]],'Pivot rīcības un objekti'!$A$4:$F$232,2,FALSE)</f>
        <v>6890</v>
      </c>
      <c r="N105" s="266">
        <f>Table4[[#This Row],[Izmaksas, EUR]]+N104</f>
        <v>8672330</v>
      </c>
      <c r="O105" s="268"/>
    </row>
    <row r="106" spans="1:16" ht="61.9" customHeight="1">
      <c r="A106" s="262" t="s">
        <v>150</v>
      </c>
      <c r="B106" s="271" t="s">
        <v>329</v>
      </c>
      <c r="C106" s="264" t="str">
        <f>VLOOKUP(Table4[[#This Row],[Rīcības kods]],Rīcibas_plans!$B$4:$D$234,3,FALSE)</f>
        <v>Atpūtas vietas izveide (pie Daugmales dīķa) Cibuļos (kad. nr. 80560020271, zemes gabalas pie Raģu ceļa)</v>
      </c>
      <c r="D106" s="265" t="str">
        <f>VLOOKUP($A106,'Pivot rīcības un objekti'!$A$4:$U$193,21,FALSE)</f>
        <v>Atpūtas vietas pie ūdens labiekārtošana. Potenciāla bērnu laukuma vietas izveide</v>
      </c>
      <c r="E106" s="265">
        <f>VLOOKUP($A106,'Pivot rīcības un objekti'!$A$4:$U$193,E$9,FALSE)</f>
        <v>149</v>
      </c>
      <c r="F106" s="265">
        <f>VLOOKUP($A106,'Pivot rīcības un objekti'!$A$4:$U$193,F$9,FALSE)</f>
        <v>162</v>
      </c>
      <c r="G106" s="265">
        <f>VLOOKUP($A106,'Pivot rīcības un objekti'!$A$4:$U$193,G$9,FALSE)</f>
        <v>107</v>
      </c>
      <c r="H106" s="265">
        <f>VLOOKUP($A106,'Pivot rīcības un objekti'!$A$4:$U$193,H$9,FALSE)</f>
        <v>61</v>
      </c>
      <c r="I106" s="265">
        <f>VLOOKUP($A106,'Pivot rīcības un objekti'!$A$4:$U$192,I$9,FALSE)</f>
        <v>81</v>
      </c>
      <c r="J106" s="265">
        <f>VLOOKUP($A106,'Pivot rīcības un objekti'!$A$4:$U$192,J$9,FALSE)</f>
        <v>43</v>
      </c>
      <c r="K106" s="293">
        <f>VLOOKUP(Table4[[#This Row],[Rīcības kods]],'Pivot rīcības un objekti'!$A$4:$T$233,19,FALSE)</f>
        <v>100.5</v>
      </c>
      <c r="L106" s="265">
        <f>VLOOKUP(Table4[[#This Row],[Rīcības kods]],'Pivot rīcības un objekti'!$A$4:$F$232,6,FALSE)</f>
        <v>2</v>
      </c>
      <c r="M106" s="266">
        <f>VLOOKUP(Table4[[#This Row],[Rīcības kods]],'Pivot rīcības un objekti'!$A$4:$F$232,2,FALSE)</f>
        <v>7160</v>
      </c>
      <c r="N106" s="266">
        <f>Table4[[#This Row],[Izmaksas, EUR]]+N105</f>
        <v>8679490</v>
      </c>
      <c r="O106" s="268"/>
    </row>
    <row r="107" spans="1:16" ht="42">
      <c r="A107" s="262" t="s">
        <v>158</v>
      </c>
      <c r="B107" s="271" t="s">
        <v>329</v>
      </c>
      <c r="C107" s="264" t="str">
        <f>VLOOKUP(Table4[[#This Row],[Rīcības kods]],Rīcibas_plans!$B$4:$D$234,3,FALSE)</f>
        <v>Gājēju ietve un velo infrastruktūra  no Vedmeru ceļa līdz Daugmales centram.</v>
      </c>
      <c r="D107" s="265" t="str">
        <f>VLOOKUP($A107,'Pivot rīcības un objekti'!$A$4:$U$193,21,FALSE)</f>
        <v>Pieejamības uzlabošana ierīkojot velo infrastruktūru</v>
      </c>
      <c r="E107" s="265">
        <f>VLOOKUP($A107,'Pivot rīcības un objekti'!$A$4:$U$193,E$9,FALSE)</f>
        <v>93</v>
      </c>
      <c r="F107" s="265">
        <f>VLOOKUP($A107,'Pivot rīcības un objekti'!$A$4:$U$193,F$9,FALSE)</f>
        <v>95</v>
      </c>
      <c r="G107" s="265">
        <f>VLOOKUP($A107,'Pivot rīcības un objekti'!$A$4:$U$193,G$9,FALSE)</f>
        <v>99</v>
      </c>
      <c r="H107" s="265">
        <f>VLOOKUP($A107,'Pivot rīcības un objekti'!$A$4:$U$193,H$9,FALSE)</f>
        <v>116</v>
      </c>
      <c r="I107" s="265">
        <f>VLOOKUP($A107,'Pivot rīcības un objekti'!$A$4:$U$192,I$9,FALSE)</f>
        <v>110</v>
      </c>
      <c r="J107" s="265">
        <f>VLOOKUP($A107,'Pivot rīcības un objekti'!$A$4:$U$192,J$9,FALSE)</f>
        <v>112</v>
      </c>
      <c r="K107" s="293">
        <f>VLOOKUP(Table4[[#This Row],[Rīcības kods]],'Pivot rīcības un objekti'!$A$4:$T$233,19,FALSE)</f>
        <v>104.16666666666667</v>
      </c>
      <c r="L107" s="265">
        <f>VLOOKUP(Table4[[#This Row],[Rīcības kods]],'Pivot rīcības un objekti'!$A$4:$F$232,6,FALSE)</f>
        <v>2</v>
      </c>
      <c r="M107" s="265">
        <f>VLOOKUP(Table4[[#This Row],[Rīcības kods]],'Pivot rīcības un objekti'!$A$4:$F$232,2,FALSE)</f>
        <v>82500</v>
      </c>
      <c r="N107" s="266">
        <f>Table4[[#This Row],[Izmaksas, EUR]]+N106</f>
        <v>8761990</v>
      </c>
      <c r="O107" s="267"/>
    </row>
    <row r="108" spans="1:16" ht="60" customHeight="1">
      <c r="A108" s="262" t="s">
        <v>103</v>
      </c>
      <c r="B108" s="271" t="s">
        <v>293</v>
      </c>
      <c r="C108" s="264" t="str">
        <f>VLOOKUP(Table4[[#This Row],[Rīcības kods]],Rīcibas_plans!$B$4:$D$234,3,FALSE)</f>
        <v>Rīgas iela (autoceļš P91 Mežvidi - Baldone)  no Mežvidu ielas līdz Mežvidiem (pilsētas robežai)</v>
      </c>
      <c r="D108" s="265" t="str">
        <f>VLOOKUP($A108,'Pivot rīcības un objekti'!$A$4:$U$193,21,FALSE)</f>
        <v>Lietišķo atpūtas vietu izbūve. Apvienotā gājēju un velo ceļaa izbūve (zīmes, marķējums). Apgaismojums.</v>
      </c>
      <c r="E108" s="265">
        <f>VLOOKUP($A108,'Pivot rīcības un objekti'!$A$4:$U$193,E$9,FALSE)</f>
        <v>93</v>
      </c>
      <c r="F108" s="265">
        <f>VLOOKUP($A108,'Pivot rīcības un objekti'!$A$4:$U$193,F$9,FALSE)</f>
        <v>95</v>
      </c>
      <c r="G108" s="265">
        <f>VLOOKUP($A108,'Pivot rīcības un objekti'!$A$4:$U$193,G$9,FALSE)</f>
        <v>86</v>
      </c>
      <c r="H108" s="265">
        <f>VLOOKUP($A108,'Pivot rīcības un objekti'!$A$4:$U$193,H$9,FALSE)</f>
        <v>132</v>
      </c>
      <c r="I108" s="265">
        <f>VLOOKUP($A108,'Pivot rīcības un objekti'!$A$4:$U$192,I$9,FALSE)</f>
        <v>121</v>
      </c>
      <c r="J108" s="265">
        <f>VLOOKUP($A108,'Pivot rīcības un objekti'!$A$4:$U$192,J$9,FALSE)</f>
        <v>118</v>
      </c>
      <c r="K108" s="293">
        <f>VLOOKUP(Table4[[#This Row],[Rīcības kods]],'Pivot rīcības un objekti'!$A$4:$T$233,19,FALSE)</f>
        <v>107.5</v>
      </c>
      <c r="L108" s="265">
        <f>VLOOKUP(Table4[[#This Row],[Rīcības kods]],'Pivot rīcības un objekti'!$A$4:$F$232,6,FALSE)</f>
        <v>2</v>
      </c>
      <c r="M108" s="265">
        <f>VLOOKUP(Table4[[#This Row],[Rīcības kods]],'Pivot rīcības un objekti'!$A$4:$F$232,2,FALSE)</f>
        <v>137500</v>
      </c>
      <c r="N108" s="266">
        <f>Table4[[#This Row],[Izmaksas, EUR]]+N107</f>
        <v>8899490</v>
      </c>
      <c r="O108" s="268"/>
    </row>
    <row r="109" spans="1:16" ht="60" customHeight="1">
      <c r="A109" s="262" t="s">
        <v>220</v>
      </c>
      <c r="B109" s="271" t="s">
        <v>342</v>
      </c>
      <c r="C109" s="264" t="str">
        <f>VLOOKUP(Table4[[#This Row],[Rīcības kods]],Rīcibas_plans!$B$4:$D$234,3,FALSE)</f>
        <v xml:space="preserve">Gājēju ietve Ziemeļu ielā posmā no A5 (Jaunsils) līdz putnu fabrikai.  Gājēju ceļš un veloceļš.  </v>
      </c>
      <c r="D109" s="265" t="str">
        <f>VLOOKUP($A109,'Pivot rīcības un objekti'!$A$4:$U$193,21,FALSE)</f>
        <v xml:space="preserve">Gājēju ceļš un veloceļa izbūve Ziemeļu ielā posmā no A5 (Jaunsils) līdz putnu fabrikai Jaunsilam.  </v>
      </c>
      <c r="E109" s="265">
        <f>VLOOKUP($A109,'Pivot rīcības un objekti'!$A$4:$U$193,E$9,FALSE)</f>
        <v>93</v>
      </c>
      <c r="F109" s="265">
        <f>VLOOKUP($A109,'Pivot rīcības un objekti'!$A$4:$U$193,F$9,FALSE)</f>
        <v>77</v>
      </c>
      <c r="G109" s="265">
        <f>VLOOKUP($A109,'Pivot rīcības un objekti'!$A$4:$U$193,G$9,FALSE)</f>
        <v>76</v>
      </c>
      <c r="H109" s="265">
        <f>VLOOKUP($A109,'Pivot rīcības un objekti'!$A$4:$U$193,H$9,FALSE)</f>
        <v>147</v>
      </c>
      <c r="I109" s="265">
        <f>VLOOKUP($A109,'Pivot rīcības un objekti'!$A$4:$U$192,I$9,FALSE)</f>
        <v>126</v>
      </c>
      <c r="J109" s="265">
        <f>VLOOKUP($A109,'Pivot rīcības un objekti'!$A$4:$U$192,J$9,FALSE)</f>
        <v>131</v>
      </c>
      <c r="K109" s="293">
        <f>VLOOKUP(Table4[[#This Row],[Rīcības kods]],'Pivot rīcības un objekti'!$A$4:$T$233,19,FALSE)</f>
        <v>108.33333333333333</v>
      </c>
      <c r="L109" s="265">
        <f>VLOOKUP(Table4[[#This Row],[Rīcības kods]],'Pivot rīcības un objekti'!$A$4:$F$232,6,FALSE)</f>
        <v>2</v>
      </c>
      <c r="M109" s="265">
        <f>VLOOKUP(Table4[[#This Row],[Rīcības kods]],'Pivot rīcības un objekti'!$A$4:$F$232,2,FALSE)</f>
        <v>220000</v>
      </c>
      <c r="N109" s="266">
        <f>Table4[[#This Row],[Izmaksas, EUR]]+N108</f>
        <v>9119490</v>
      </c>
      <c r="O109" s="335"/>
    </row>
    <row r="110" spans="1:16" ht="33" customHeight="1">
      <c r="A110" s="262" t="s">
        <v>205</v>
      </c>
      <c r="B110" s="271" t="s">
        <v>341</v>
      </c>
      <c r="C110" s="264" t="str">
        <f>VLOOKUP(Table4[[#This Row],[Rīcības kods]],Rīcibas_plans!$B$4:$D$234,3,FALSE)</f>
        <v>Akotu ielas gājēju un velosipēdu infrasturktūra</v>
      </c>
      <c r="D110" s="265" t="str">
        <f>VLOOKUP($A110,'Pivot rīcības un objekti'!$A$4:$U$193,21,FALSE)</f>
        <v>Apgaismotas gājēju ietves izbūve (dzīvojamās zonas, gājēju prioritārās zonas noteikšana) no A7- tilts pāri Titurgas upei - Pļavniekkalna iela. Lietišķās atpūtas vietu izvietošana (S tips).</v>
      </c>
      <c r="E110" s="265">
        <f>VLOOKUP($A110,'Pivot rīcības un objekti'!$A$4:$U$193,E$9,FALSE)</f>
        <v>93</v>
      </c>
      <c r="F110" s="265">
        <f>VLOOKUP($A110,'Pivot rīcības un objekti'!$A$4:$U$193,F$9,FALSE)</f>
        <v>77</v>
      </c>
      <c r="G110" s="265">
        <f>VLOOKUP($A110,'Pivot rīcības un objekti'!$A$4:$U$193,G$9,FALSE)</f>
        <v>56</v>
      </c>
      <c r="H110" s="265">
        <f>VLOOKUP($A110,'Pivot rīcības un objekti'!$A$4:$U$193,H$9,FALSE)</f>
        <v>163</v>
      </c>
      <c r="I110" s="265">
        <f>VLOOKUP($A110,'Pivot rīcības un objekti'!$A$4:$U$192,I$9,FALSE)</f>
        <v>143</v>
      </c>
      <c r="J110" s="265">
        <f>VLOOKUP($A110,'Pivot rīcības un objekti'!$A$4:$U$192,J$9,FALSE)</f>
        <v>136</v>
      </c>
      <c r="K110" s="293">
        <f>VLOOKUP(Table4[[#This Row],[Rīcības kods]],'Pivot rīcības un objekti'!$A$4:$T$233,19,FALSE)</f>
        <v>111.33333333333333</v>
      </c>
      <c r="L110" s="265">
        <f>VLOOKUP(Table4[[#This Row],[Rīcības kods]],'Pivot rīcības un objekti'!$A$4:$F$232,6,FALSE)</f>
        <v>2</v>
      </c>
      <c r="M110" s="265">
        <f>VLOOKUP(Table4[[#This Row],[Rīcības kods]],'Pivot rīcības un objekti'!$A$4:$F$232,2,FALSE)</f>
        <v>390500</v>
      </c>
      <c r="N110" s="266">
        <f>Table4[[#This Row],[Izmaksas, EUR]]+N109</f>
        <v>9509990</v>
      </c>
      <c r="O110" s="267"/>
    </row>
    <row r="111" spans="1:16" ht="40.15" customHeight="1">
      <c r="A111" s="262" t="s">
        <v>62</v>
      </c>
      <c r="B111" s="271" t="s">
        <v>323</v>
      </c>
      <c r="C111" s="264" t="str">
        <f>VLOOKUP(Table4[[#This Row],[Rīcības kods]],Rīcibas_plans!$B$4:$D$234,3,FALSE)</f>
        <v xml:space="preserve">Grāvja tīrīšana posmā līdz Titurgas ezeram </v>
      </c>
      <c r="D111" s="265" t="str">
        <f>VLOOKUP($A111,'Pivot rīcības un objekti'!$A$4:$U$193,21,FALSE)</f>
        <v>Grāvja tīrīšana posmā Silāju ielas līdz Titurgas ezeram</v>
      </c>
      <c r="E111" s="265">
        <f>VLOOKUP($A111,'Pivot rīcības un objekti'!$A$4:$U$193,E$9,FALSE)</f>
        <v>186</v>
      </c>
      <c r="F111" s="265">
        <f>VLOOKUP($A111,'Pivot rīcības un objekti'!$A$4:$U$193,F$9,FALSE)</f>
        <v>165</v>
      </c>
      <c r="G111" s="265">
        <f>VLOOKUP($A111,'Pivot rīcības un objekti'!$A$4:$U$193,G$9,FALSE)</f>
        <v>200</v>
      </c>
      <c r="H111" s="265">
        <f>VLOOKUP($A111,'Pivot rīcības un objekti'!$A$4:$U$193,H$9,FALSE)</f>
        <v>42</v>
      </c>
      <c r="I111" s="265">
        <f>VLOOKUP($A111,'Pivot rīcības un objekti'!$A$4:$U$192,I$9,FALSE)</f>
        <v>40</v>
      </c>
      <c r="J111" s="265">
        <f>VLOOKUP($A111,'Pivot rīcības un objekti'!$A$4:$U$192,J$9,FALSE)</f>
        <v>73</v>
      </c>
      <c r="K111" s="293">
        <f>VLOOKUP(Table4[[#This Row],[Rīcības kods]],'Pivot rīcības un objekti'!$A$4:$T$233,19,FALSE)</f>
        <v>117.66666666666667</v>
      </c>
      <c r="L111" s="265">
        <f>VLOOKUP(Table4[[#This Row],[Rīcības kods]],'Pivot rīcības un objekti'!$A$4:$F$232,6,FALSE)</f>
        <v>2</v>
      </c>
      <c r="M111" s="265">
        <f>VLOOKUP(Table4[[#This Row],[Rīcības kods]],'Pivot rīcības un objekti'!$A$4:$F$232,2,FALSE)</f>
        <v>1500</v>
      </c>
      <c r="N111" s="266">
        <f>Table4[[#This Row],[Izmaksas, EUR]]+N110</f>
        <v>9511490</v>
      </c>
      <c r="O111" s="360" t="s">
        <v>343</v>
      </c>
    </row>
    <row r="112" spans="1:16" ht="42">
      <c r="A112" s="262" t="s">
        <v>107</v>
      </c>
      <c r="B112" s="271" t="s">
        <v>293</v>
      </c>
      <c r="C112" s="264" t="str">
        <f>VLOOKUP(Table4[[#This Row],[Rīcības kods]],Rīcibas_plans!$B$4:$D$234,3,FALSE)</f>
        <v>Sabiedriskā transporta pietura "Mežvidi" uz autoceļa P89 (Ķekava - Skaistkalne)</v>
      </c>
      <c r="D112" s="265" t="str">
        <f>VLOOKUP($A112,'Pivot rīcības un objekti'!$A$4:$U$193,21,FALSE)</f>
        <v>Veikt nojumes izbūvi</v>
      </c>
      <c r="E112" s="265">
        <f>VLOOKUP($A112,'Pivot rīcības un objekti'!$A$4:$U$193,E$9,FALSE)</f>
        <v>186</v>
      </c>
      <c r="F112" s="265">
        <f>VLOOKUP($A112,'Pivot rīcības un objekti'!$A$4:$U$193,F$9,FALSE)</f>
        <v>165</v>
      </c>
      <c r="G112" s="265">
        <f>VLOOKUP($A112,'Pivot rīcības un objekti'!$A$4:$U$193,G$9,FALSE)</f>
        <v>194</v>
      </c>
      <c r="H112" s="265">
        <f>VLOOKUP($A112,'Pivot rīcības un objekti'!$A$4:$U$193,H$9,FALSE)</f>
        <v>66</v>
      </c>
      <c r="I112" s="265">
        <f>VLOOKUP($A112,'Pivot rīcības un objekti'!$A$4:$U$192,I$9,FALSE)</f>
        <v>66</v>
      </c>
      <c r="J112" s="265">
        <f>VLOOKUP($A112,'Pivot rīcības un objekti'!$A$4:$U$192,J$9,FALSE)</f>
        <v>85</v>
      </c>
      <c r="K112" s="293">
        <f>VLOOKUP(Table4[[#This Row],[Rīcības kods]],'Pivot rīcības un objekti'!$A$4:$T$233,19,FALSE)</f>
        <v>127</v>
      </c>
      <c r="L112" s="265">
        <f>VLOOKUP(Table4[[#This Row],[Rīcības kods]],'Pivot rīcības un objekti'!$A$4:$F$232,6,FALSE)</f>
        <v>2</v>
      </c>
      <c r="M112" s="265">
        <f>VLOOKUP(Table4[[#This Row],[Rīcības kods]],'Pivot rīcības un objekti'!$A$4:$F$232,2,FALSE)</f>
        <v>3150</v>
      </c>
      <c r="N112" s="266">
        <f>Table4[[#This Row],[Izmaksas, EUR]]+N111</f>
        <v>9514640</v>
      </c>
      <c r="O112" s="268"/>
    </row>
    <row r="113" spans="1:15" ht="28.9" customHeight="1">
      <c r="A113" s="262" t="s">
        <v>115</v>
      </c>
      <c r="B113" s="271" t="s">
        <v>293</v>
      </c>
      <c r="C113" s="264" t="str">
        <f>VLOOKUP(Table4[[#This Row],[Rīcības kods]],Rīcibas_plans!$B$4:$D$234,3,FALSE)</f>
        <v>Ceriņu parka turpinājums</v>
      </c>
      <c r="D113" s="265" t="str">
        <f>VLOOKUP($A113,'Pivot rīcības un objekti'!$A$4:$U$193,21,FALSE)</f>
        <v>Pastaigu takas (laipa) (no sēravota uz Krasta ielas pusi), apgaismojuma, lietišķās atpūtas vietas (S) izbūve.
Potenciāli attīstāma vieta</v>
      </c>
      <c r="E113" s="265">
        <f>VLOOKUP($A113,'Pivot rīcības un objekti'!$A$4:$U$193,E$9,FALSE)</f>
        <v>149</v>
      </c>
      <c r="F113" s="265">
        <f>VLOOKUP($A113,'Pivot rīcības un objekti'!$A$4:$U$193,F$9,FALSE)</f>
        <v>95</v>
      </c>
      <c r="G113" s="265">
        <f>VLOOKUP($A113,'Pivot rīcības un objekti'!$A$4:$U$193,G$9,FALSE)</f>
        <v>135</v>
      </c>
      <c r="H113" s="265">
        <f>VLOOKUP($A113,'Pivot rīcības un objekti'!$A$4:$U$193,H$9,FALSE)</f>
        <v>169</v>
      </c>
      <c r="I113" s="265">
        <f>VLOOKUP($A113,'Pivot rīcības un objekti'!$A$4:$U$192,I$9,FALSE)</f>
        <v>140</v>
      </c>
      <c r="J113" s="265">
        <f>VLOOKUP($A113,'Pivot rīcības un objekti'!$A$4:$U$192,J$9,FALSE)</f>
        <v>169</v>
      </c>
      <c r="K113" s="293">
        <f>VLOOKUP(Table4[[#This Row],[Rīcības kods]],'Pivot rīcības un objekti'!$A$4:$T$233,19,FALSE)</f>
        <v>142.83333333333334</v>
      </c>
      <c r="L113" s="265">
        <f>VLOOKUP(Table4[[#This Row],[Rīcības kods]],'Pivot rīcības un objekti'!$A$4:$F$232,6,FALSE)</f>
        <v>2</v>
      </c>
      <c r="M113" s="265">
        <f>VLOOKUP(Table4[[#This Row],[Rīcības kods]],'Pivot rīcības un objekti'!$A$4:$F$232,2,FALSE)</f>
        <v>250000</v>
      </c>
      <c r="N113" s="266">
        <f>Table4[[#This Row],[Izmaksas, EUR]]+N112</f>
        <v>9764640</v>
      </c>
      <c r="O113" s="268"/>
    </row>
    <row r="114" spans="1:15" ht="38.450000000000003" customHeight="1">
      <c r="A114" s="262" t="s">
        <v>152</v>
      </c>
      <c r="B114" s="271" t="s">
        <v>340</v>
      </c>
      <c r="C114" s="264" t="str">
        <f>VLOOKUP(Table4[[#This Row],[Rīcības kods]],Rīcibas_plans!$B$4:$D$234,3,FALSE)</f>
        <v>Sabiedriskā transporta pietura "Kalniņi" pie P89</v>
      </c>
      <c r="D114" s="265" t="str">
        <f>VLOOKUP($A114,'Pivot rīcības un objekti'!$A$4:$U$193,21,FALSE)</f>
        <v>Veikt pieturas pārbūvi, veidojot kā M tipa sabiedriskā transporta pieturu.</v>
      </c>
      <c r="E114" s="265">
        <f>VLOOKUP($A114,'Pivot rīcības un objekti'!$A$4:$U$193,E$9,FALSE)</f>
        <v>215</v>
      </c>
      <c r="F114" s="265">
        <f>VLOOKUP($A114,'Pivot rīcības un objekti'!$A$4:$U$193,F$9,FALSE)</f>
        <v>214</v>
      </c>
      <c r="G114" s="265">
        <f>VLOOKUP($A114,'Pivot rīcības un objekti'!$A$4:$U$193,G$9,FALSE)</f>
        <v>213</v>
      </c>
      <c r="H114" s="265">
        <f>VLOOKUP($A114,'Pivot rīcības un objekti'!$A$4:$U$193,H$9,FALSE)</f>
        <v>110</v>
      </c>
      <c r="I114" s="265">
        <f>VLOOKUP($A114,'Pivot rīcības un objekti'!$A$4:$U$192,I$9,FALSE)</f>
        <v>120</v>
      </c>
      <c r="J114" s="265">
        <f>VLOOKUP($A114,'Pivot rīcības un objekti'!$A$4:$U$192,J$9,FALSE)</f>
        <v>124</v>
      </c>
      <c r="K114" s="293">
        <f>VLOOKUP(Table4[[#This Row],[Rīcības kods]],'Pivot rīcības un objekti'!$A$4:$T$233,19,FALSE)</f>
        <v>166</v>
      </c>
      <c r="L114" s="265">
        <f>VLOOKUP(Table4[[#This Row],[Rīcības kods]],'Pivot rīcības un objekti'!$A$4:$F$232,6,FALSE)</f>
        <v>2</v>
      </c>
      <c r="M114" s="266">
        <f>VLOOKUP(Table4[[#This Row],[Rīcības kods]],'Pivot rīcības un objekti'!$A$4:$F$232,2,FALSE)</f>
        <v>3150</v>
      </c>
      <c r="N114" s="266">
        <f>Table4[[#This Row],[Izmaksas, EUR]]+N113</f>
        <v>9767790</v>
      </c>
      <c r="O114" s="268"/>
    </row>
    <row r="115" spans="1:15" ht="42">
      <c r="A115" s="262" t="s">
        <v>240</v>
      </c>
      <c r="B115" s="271" t="s">
        <v>344</v>
      </c>
      <c r="C115" s="264" t="str">
        <f>VLOOKUP(Table4[[#This Row],[Rīcības kods]],Rīcibas_plans!$B$4:$D$234,3,FALSE)</f>
        <v>Kopienas centra un rotaļu laukuma izveide Plakanciemā (kad. nr.80700160021 vai 80700140226)</v>
      </c>
      <c r="D115" s="265" t="e">
        <f>VLOOKUP($A115,'Pivot rīcības un objekti'!$A$4:$U$193,21,FALSE)</f>
        <v>#N/A</v>
      </c>
      <c r="E115" s="265" t="e">
        <f>VLOOKUP($A115,'Pivot rīcības un objekti'!$A$4:$U$193,E$9,FALSE)</f>
        <v>#N/A</v>
      </c>
      <c r="F115" s="265" t="e">
        <f>VLOOKUP($A115,'Pivot rīcības un objekti'!$A$4:$U$193,F$9,FALSE)</f>
        <v>#N/A</v>
      </c>
      <c r="G115" s="265" t="e">
        <f>VLOOKUP($A115,'Pivot rīcības un objekti'!$A$4:$U$193,G$9,FALSE)</f>
        <v>#N/A</v>
      </c>
      <c r="H115" s="265" t="e">
        <f>VLOOKUP($A115,'Pivot rīcības un objekti'!$A$4:$U$193,H$9,FALSE)</f>
        <v>#N/A</v>
      </c>
      <c r="I115" s="265" t="e">
        <f>VLOOKUP($A115,'Pivot rīcības un objekti'!$A$4:$U$192,I$9,FALSE)</f>
        <v>#N/A</v>
      </c>
      <c r="J115" s="265" t="e">
        <f>VLOOKUP($A115,'Pivot rīcības un objekti'!$A$4:$U$192,J$9,FALSE)</f>
        <v>#N/A</v>
      </c>
      <c r="K115" s="293">
        <f>VLOOKUP(Table4[[#This Row],[Rīcības kods]],'Pivot rīcības un objekti'!$A$4:$T$233,19,FALSE)</f>
        <v>166.66666666666666</v>
      </c>
      <c r="L115" s="265">
        <f>VLOOKUP(Table4[[#This Row],[Rīcības kods]],'Pivot rīcības un objekti'!$A$4:$F$232,6,FALSE)</f>
        <v>2</v>
      </c>
      <c r="M115" s="266">
        <f>VLOOKUP(Table4[[#This Row],[Rīcības kods]],'Pivot rīcības un objekti'!$A$4:$F$232,2,FALSE)</f>
        <v>13625</v>
      </c>
      <c r="N115" s="266">
        <f>Table4[[#This Row],[Izmaksas, EUR]]+N114</f>
        <v>9781415</v>
      </c>
      <c r="O115" s="268"/>
    </row>
    <row r="116" spans="1:15" ht="49.9" customHeight="1">
      <c r="A116" s="262" t="s">
        <v>137</v>
      </c>
      <c r="B116" s="271" t="s">
        <v>329</v>
      </c>
      <c r="C116" s="264" t="str">
        <f>VLOOKUP(Table4[[#This Row],[Rīcības kods]],Rīcibas_plans!$B$4:$D$234,3,FALSE)</f>
        <v>L tipa Bērnu rotaļu laukums pie Daugmales Multifunkcionālā centra (kad.nr 80560020583)</v>
      </c>
      <c r="D116" s="265" t="str">
        <f>VLOOKUP($A116,'Pivot rīcības un objekti'!$A$4:$U$193,21,FALSE)</f>
        <v xml:space="preserve">Nepieciešams moderns bērnu rotaļu laukums, ar kura palīdzību aizsākt aktīvās atpūtas parka veidošanu pie Daugmales Multifunkcionālā centra. </v>
      </c>
      <c r="E116" s="265">
        <f>VLOOKUP($A116,'Pivot rīcības un objekti'!$A$4:$U$193,E$9,FALSE)</f>
        <v>206</v>
      </c>
      <c r="F116" s="265">
        <f>VLOOKUP($A116,'Pivot rīcības un objekti'!$A$4:$U$193,F$9,FALSE)</f>
        <v>191</v>
      </c>
      <c r="G116" s="265">
        <f>VLOOKUP($A116,'Pivot rīcības un objekti'!$A$4:$U$193,G$9,FALSE)</f>
        <v>189</v>
      </c>
      <c r="H116" s="265">
        <f>VLOOKUP($A116,'Pivot rīcības un objekti'!$A$4:$U$193,H$9,FALSE)</f>
        <v>158</v>
      </c>
      <c r="I116" s="265">
        <f>VLOOKUP($A116,'Pivot rīcības un objekti'!$A$4:$U$192,I$9,FALSE)</f>
        <v>153</v>
      </c>
      <c r="J116" s="265">
        <f>VLOOKUP($A116,'Pivot rīcības un objekti'!$A$4:$U$192,J$9,FALSE)</f>
        <v>144</v>
      </c>
      <c r="K116" s="293">
        <f>VLOOKUP(Table4[[#This Row],[Rīcības kods]],'Pivot rīcības un objekti'!$A$4:$T$233,19,FALSE)</f>
        <v>173.5</v>
      </c>
      <c r="L116" s="265">
        <f>VLOOKUP(Table4[[#This Row],[Rīcības kods]],'Pivot rīcības un objekti'!$A$4:$F$232,6,FALSE)</f>
        <v>2</v>
      </c>
      <c r="M116" s="266">
        <f>VLOOKUP(Table4[[#This Row],[Rīcības kods]],'Pivot rīcības un objekti'!$A$4:$F$232,2,FALSE)</f>
        <v>30325</v>
      </c>
      <c r="N116" s="266">
        <f>Table4[[#This Row],[Izmaksas, EUR]]+N115</f>
        <v>9811740</v>
      </c>
      <c r="O116" s="268"/>
    </row>
    <row r="117" spans="1:15" ht="42">
      <c r="A117" s="262" t="s">
        <v>235</v>
      </c>
      <c r="B117" s="271" t="s">
        <v>324</v>
      </c>
      <c r="C117" s="264" t="str">
        <f>VLOOKUP(Table4[[#This Row],[Rīcības kods]],Rīcibas_plans!$B$4:$D$234,3,FALSE)</f>
        <v>Ķekavas upes ieteka, Ūdens porta veidu centra stāvlaukums Ķekavas parks, Rīgas iela 71A,</v>
      </c>
      <c r="D117" s="265" t="str">
        <f>VLOOKUP($A117,'Pivot rīcības un objekti'!$A$4:$U$193,21,FALSE)</f>
        <v>Stāvlaukuma izbūve</v>
      </c>
      <c r="E117" s="265">
        <f>VLOOKUP($A117,'Pivot rīcības un objekti'!$A$4:$U$193,E$9,FALSE)</f>
        <v>202</v>
      </c>
      <c r="F117" s="265">
        <f>VLOOKUP($A117,'Pivot rīcības un objekti'!$A$4:$U$193,F$9,FALSE)</f>
        <v>187</v>
      </c>
      <c r="G117" s="265">
        <f>VLOOKUP($A117,'Pivot rīcības un objekti'!$A$4:$U$193,G$9,FALSE)</f>
        <v>147</v>
      </c>
      <c r="H117" s="265">
        <f>VLOOKUP($A117,'Pivot rīcības un objekti'!$A$4:$U$193,H$9,FALSE)</f>
        <v>182</v>
      </c>
      <c r="I117" s="265">
        <f>VLOOKUP($A117,'Pivot rīcības un objekti'!$A$4:$U$192,I$9,FALSE)</f>
        <v>177</v>
      </c>
      <c r="J117" s="265">
        <f>VLOOKUP($A117,'Pivot rīcības un objekti'!$A$4:$U$192,J$9,FALSE)</f>
        <v>159</v>
      </c>
      <c r="K117" s="293">
        <f>VLOOKUP(Table4[[#This Row],[Rīcības kods]],'Pivot rīcības un objekti'!$A$4:$T$233,19,FALSE)</f>
        <v>175.66666666666666</v>
      </c>
      <c r="L117" s="265">
        <f>VLOOKUP(Table4[[#This Row],[Rīcības kods]],'Pivot rīcības un objekti'!$A$4:$F$232,6,FALSE)</f>
        <v>2</v>
      </c>
      <c r="M117" s="265">
        <f>VLOOKUP(Table4[[#This Row],[Rīcības kods]],'Pivot rīcības un objekti'!$A$4:$F$232,2,FALSE)</f>
        <v>150000</v>
      </c>
      <c r="N117" s="266">
        <f>Table4[[#This Row],[Izmaksas, EUR]]+N116</f>
        <v>9961740</v>
      </c>
      <c r="O117" s="267"/>
    </row>
    <row r="118" spans="1:15" ht="22.9" customHeight="1">
      <c r="A118" s="262" t="s">
        <v>228</v>
      </c>
      <c r="B118" s="271" t="s">
        <v>324</v>
      </c>
      <c r="C118" s="264" t="str">
        <f>VLOOKUP(Table4[[#This Row],[Rīcības kods]],Rīcibas_plans!$B$4:$D$234,3,FALSE)</f>
        <v xml:space="preserve">Seguma ierīkošana sporta spēlēm </v>
      </c>
      <c r="D118" s="265" t="str">
        <f>VLOOKUP($A118,'Pivot rīcības un objekti'!$A$4:$U$193,21,FALSE)</f>
        <v xml:space="preserve">Seguma (asfalts vai speciāls segums) ierīkošana , lai nodoršinātu iespēju nodarboties ar florbolu, skrituļot vai braukt ar riteņiem bērniem </v>
      </c>
      <c r="E118" s="265">
        <f>VLOOKUP($A118,'Pivot rīcības un objekti'!$A$4:$U$193,E$9,FALSE)</f>
        <v>214</v>
      </c>
      <c r="F118" s="265">
        <f>VLOOKUP($A118,'Pivot rīcības un objekti'!$A$4:$U$193,F$9,FALSE)</f>
        <v>193</v>
      </c>
      <c r="G118" s="265">
        <f>VLOOKUP($A118,'Pivot rīcības un objekti'!$A$4:$U$193,G$9,FALSE)</f>
        <v>193</v>
      </c>
      <c r="H118" s="265">
        <f>VLOOKUP($A118,'Pivot rīcības un objekti'!$A$4:$U$193,H$9,FALSE)</f>
        <v>179</v>
      </c>
      <c r="I118" s="265">
        <f>VLOOKUP($A118,'Pivot rīcības un objekti'!$A$4:$U$192,I$9,FALSE)</f>
        <v>166</v>
      </c>
      <c r="J118" s="265">
        <f>VLOOKUP($A118,'Pivot rīcības un objekti'!$A$4:$U$192,J$9,FALSE)</f>
        <v>162</v>
      </c>
      <c r="K118" s="293">
        <f>VLOOKUP(Table4[[#This Row],[Rīcības kods]],'Pivot rīcības un objekti'!$A$4:$T$233,19,FALSE)</f>
        <v>184.5</v>
      </c>
      <c r="L118" s="265">
        <f>VLOOKUP(Table4[[#This Row],[Rīcības kods]],'Pivot rīcības un objekti'!$A$4:$F$232,6,FALSE)</f>
        <v>2</v>
      </c>
      <c r="M118" s="266">
        <f>VLOOKUP(Table4[[#This Row],[Rīcības kods]],'Pivot rīcības un objekti'!$A$4:$F$232,2,FALSE)</f>
        <v>45000</v>
      </c>
      <c r="N118" s="266">
        <f>Table4[[#This Row],[Izmaksas, EUR]]+N117</f>
        <v>10006740</v>
      </c>
      <c r="O118" s="268"/>
    </row>
    <row r="119" spans="1:15" ht="42">
      <c r="A119" s="262" t="s">
        <v>108</v>
      </c>
      <c r="B119" s="271" t="s">
        <v>340</v>
      </c>
      <c r="C119" s="264" t="str">
        <f>VLOOKUP(Table4[[#This Row],[Rīcības kods]],Rīcibas_plans!$B$4:$D$234,3,FALSE)</f>
        <v>Sabiedriskā transporta pietura "Mīlu kalni"  uz autoceļa V9 (Iecava - Baldone - Daugmale)</v>
      </c>
      <c r="D119" s="265" t="str">
        <f>VLOOKUP($A119,'Pivot rīcības un objekti'!$A$4:$U$193,21,FALSE)</f>
        <v>Veikt platformas, soliņu izbūvi</v>
      </c>
      <c r="E119" s="265">
        <f>VLOOKUP($A119,'Pivot rīcības un objekti'!$A$4:$U$193,E$9,FALSE)</f>
        <v>227</v>
      </c>
      <c r="F119" s="265">
        <f>VLOOKUP($A119,'Pivot rīcības un objekti'!$A$4:$U$193,F$9,FALSE)</f>
        <v>228</v>
      </c>
      <c r="G119" s="265">
        <f>VLOOKUP($A119,'Pivot rīcības un objekti'!$A$4:$U$193,G$9,FALSE)</f>
        <v>229</v>
      </c>
      <c r="H119" s="265">
        <f>VLOOKUP($A119,'Pivot rīcības un objekti'!$A$4:$U$193,H$9,FALSE)</f>
        <v>174</v>
      </c>
      <c r="I119" s="265">
        <f>VLOOKUP($A119,'Pivot rīcības un objekti'!$A$4:$U$192,I$9,FALSE)</f>
        <v>188</v>
      </c>
      <c r="J119" s="265">
        <f>VLOOKUP($A119,'Pivot rīcības un objekti'!$A$4:$U$192,J$9,FALSE)</f>
        <v>194</v>
      </c>
      <c r="K119" s="293">
        <f>VLOOKUP(Table4[[#This Row],[Rīcības kods]],'Pivot rīcības un objekti'!$A$4:$T$233,19,FALSE)</f>
        <v>206.66666666666666</v>
      </c>
      <c r="L119" s="265">
        <f>VLOOKUP(Table4[[#This Row],[Rīcības kods]],'Pivot rīcības un objekti'!$A$4:$F$232,6,FALSE)</f>
        <v>2</v>
      </c>
      <c r="M119" s="265">
        <f>VLOOKUP(Table4[[#This Row],[Rīcības kods]],'Pivot rīcības un objekti'!$A$4:$F$232,2,FALSE)</f>
        <v>5530</v>
      </c>
      <c r="N119" s="266">
        <f>Table4[[#This Row],[Izmaksas, EUR]]+N118</f>
        <v>10012270</v>
      </c>
      <c r="O119" s="268"/>
    </row>
    <row r="120" spans="1:15" ht="28.15">
      <c r="A120" s="262" t="s">
        <v>215</v>
      </c>
      <c r="B120" s="271" t="s">
        <v>324</v>
      </c>
      <c r="C120" s="264" t="str">
        <f>VLOOKUP(Table4[[#This Row],[Rīcības kods]],Rīcibas_plans!$B$4:$D$234,3,FALSE)</f>
        <v>Mūzikas skolas priekšlaukums, Skolas iela 3</v>
      </c>
      <c r="D120" s="265" t="str">
        <f>VLOOKUP($A120,'Pivot rīcības un objekti'!$A$4:$U$193,21,FALSE)</f>
        <v>Papildināt ar koku stādījumiem</v>
      </c>
      <c r="E120" s="265">
        <f>VLOOKUP($A120,'Pivot rīcības un objekti'!$A$4:$U$193,E$9,FALSE)</f>
        <v>76</v>
      </c>
      <c r="F120" s="265">
        <f>VLOOKUP($A120,'Pivot rīcības un objekti'!$A$4:$U$193,F$9,FALSE)</f>
        <v>87</v>
      </c>
      <c r="G120" s="265">
        <f>VLOOKUP($A120,'Pivot rīcības un objekti'!$A$4:$U$193,G$9,FALSE)</f>
        <v>147</v>
      </c>
      <c r="H120" s="265" t="e">
        <f>VLOOKUP($A120,'Pivot rīcības un objekti'!$A$4:$U$193,H$9,FALSE)</f>
        <v>#VALUE!</v>
      </c>
      <c r="I120" s="265" t="e">
        <f>VLOOKUP($A120,'Pivot rīcības un objekti'!$A$4:$U$192,I$9,FALSE)</f>
        <v>#VALUE!</v>
      </c>
      <c r="J120" s="265" t="e">
        <f>VLOOKUP($A120,'Pivot rīcības un objekti'!$A$4:$U$192,J$9,FALSE)</f>
        <v>#VALUE!</v>
      </c>
      <c r="K120" s="293" t="e">
        <f>VLOOKUP(Table4[[#This Row],[Rīcības kods]],'Pivot rīcības un objekti'!$A$4:$T$233,19,FALSE)</f>
        <v>#VALUE!</v>
      </c>
      <c r="L120" s="265">
        <f>VLOOKUP(Table4[[#This Row],[Rīcības kods]],'Pivot rīcības un objekti'!$A$4:$F$232,6,FALSE)</f>
        <v>2</v>
      </c>
      <c r="M120" s="265">
        <f>VLOOKUP(Table4[[#This Row],[Rīcības kods]],'Pivot rīcības un objekti'!$A$4:$F$232,2,FALSE)</f>
        <v>0</v>
      </c>
      <c r="N120" s="266">
        <f>Table4[[#This Row],[Izmaksas, EUR]]+N119</f>
        <v>10012270</v>
      </c>
      <c r="O120" s="268"/>
    </row>
    <row r="121" spans="1:15" ht="28.15">
      <c r="A121" s="262" t="s">
        <v>237</v>
      </c>
      <c r="B121" s="271" t="s">
        <v>324</v>
      </c>
      <c r="C121" s="264" t="str">
        <f>VLOOKUP(Table4[[#This Row],[Rīcības kods]],Rīcibas_plans!$B$4:$D$234,3,FALSE)</f>
        <v>Ķekavas parks VK-daļa, Gaismas iela 7A,</v>
      </c>
      <c r="D121" s="265" t="e">
        <f>VLOOKUP($A121,'Pivot rīcības un objekti'!$A$4:$U$193,21,FALSE)</f>
        <v>#N/A</v>
      </c>
      <c r="E121" s="265" t="e">
        <f>VLOOKUP($A121,'Pivot rīcības un objekti'!$A$4:$U$193,E$9,FALSE)</f>
        <v>#N/A</v>
      </c>
      <c r="F121" s="265" t="e">
        <f>VLOOKUP($A121,'Pivot rīcības un objekti'!$A$4:$U$193,F$9,FALSE)</f>
        <v>#N/A</v>
      </c>
      <c r="G121" s="265" t="e">
        <f>VLOOKUP($A121,'Pivot rīcības un objekti'!$A$4:$U$193,G$9,FALSE)</f>
        <v>#N/A</v>
      </c>
      <c r="H121" s="265" t="e">
        <f>VLOOKUP($A121,'Pivot rīcības un objekti'!$A$4:$U$193,H$9,FALSE)</f>
        <v>#N/A</v>
      </c>
      <c r="I121" s="265" t="e">
        <f>VLOOKUP($A121,'Pivot rīcības un objekti'!$A$4:$U$192,I$9,FALSE)</f>
        <v>#N/A</v>
      </c>
      <c r="J121" s="265" t="e">
        <f>VLOOKUP($A121,'Pivot rīcības un objekti'!$A$4:$U$192,J$9,FALSE)</f>
        <v>#N/A</v>
      </c>
      <c r="K121" s="293" t="e">
        <f>VLOOKUP(Table4[[#This Row],[Rīcības kods]],'Pivot rīcības un objekti'!$A$4:$T$233,19,FALSE)</f>
        <v>#VALUE!</v>
      </c>
      <c r="L121" s="265">
        <f>VLOOKUP(Table4[[#This Row],[Rīcības kods]],'Pivot rīcības un objekti'!$A$4:$F$232,6,FALSE)</f>
        <v>2</v>
      </c>
      <c r="M121" s="265">
        <f>VLOOKUP(Table4[[#This Row],[Rīcības kods]],'Pivot rīcības un objekti'!$A$4:$F$232,2,FALSE)</f>
        <v>0</v>
      </c>
      <c r="N121" s="266">
        <f>Table4[[#This Row],[Izmaksas, EUR]]+N120</f>
        <v>10012270</v>
      </c>
      <c r="O121" s="268"/>
    </row>
    <row r="122" spans="1:15" ht="30.6" customHeight="1">
      <c r="A122" s="262" t="s">
        <v>174</v>
      </c>
      <c r="B122" s="271" t="s">
        <v>324</v>
      </c>
      <c r="C122" s="264" t="str">
        <f>VLOOKUP(Table4[[#This Row],[Rīcības kods]],Rīcibas_plans!$B$4:$D$234,3,FALSE)</f>
        <v>Labiekārtota atpūtas vietas pie ūdens  zona,Dārznieku iela 13,</v>
      </c>
      <c r="D122" s="265" t="str">
        <f>VLOOKUP($A122,'Pivot rīcības un objekti'!$A$4:$U$193,21,FALSE)</f>
        <v>Savstarpēji saskaņoti labiekārtojuma elementi, papildināt ar apgaismojumu, norādes uz atpūtas vietu pie ūdens</v>
      </c>
      <c r="E122" s="265">
        <f>VLOOKUP($A122,'Pivot rīcības un objekti'!$A$4:$U$193,E$9,FALSE)</f>
        <v>93</v>
      </c>
      <c r="F122" s="265">
        <f>VLOOKUP($A122,'Pivot rīcības un objekti'!$A$4:$U$193,F$9,FALSE)</f>
        <v>196</v>
      </c>
      <c r="G122" s="265">
        <f>VLOOKUP($A122,'Pivot rīcības un objekti'!$A$4:$U$193,G$9,FALSE)</f>
        <v>225</v>
      </c>
      <c r="H122" s="265" t="e">
        <f>VLOOKUP($A122,'Pivot rīcības un objekti'!$A$4:$U$193,H$9,FALSE)</f>
        <v>#VALUE!</v>
      </c>
      <c r="I122" s="265" t="e">
        <f>VLOOKUP($A122,'Pivot rīcības un objekti'!$A$4:$U$192,I$9,FALSE)</f>
        <v>#VALUE!</v>
      </c>
      <c r="J122" s="265" t="e">
        <f>VLOOKUP($A122,'Pivot rīcības un objekti'!$A$4:$U$192,J$9,FALSE)</f>
        <v>#VALUE!</v>
      </c>
      <c r="K122" s="293" t="e">
        <f>VLOOKUP(Table4[[#This Row],[Rīcības kods]],'Pivot rīcības un objekti'!$A$4:$T$233,19,FALSE)</f>
        <v>#VALUE!</v>
      </c>
      <c r="L122" s="265">
        <f>VLOOKUP(Table4[[#This Row],[Rīcības kods]],'Pivot rīcības un objekti'!$A$4:$F$232,6,FALSE)</f>
        <v>2</v>
      </c>
      <c r="M122" s="265">
        <f>VLOOKUP(Table4[[#This Row],[Rīcības kods]],'Pivot rīcības un objekti'!$A$4:$F$232,2,FALSE)</f>
        <v>0</v>
      </c>
      <c r="N122" s="266">
        <f>Table4[[#This Row],[Izmaksas, EUR]]+N121</f>
        <v>10012270</v>
      </c>
      <c r="O122" s="268"/>
    </row>
    <row r="123" spans="1:15" ht="37.15" customHeight="1">
      <c r="A123" s="262" t="s">
        <v>187</v>
      </c>
      <c r="B123" s="271" t="s">
        <v>324</v>
      </c>
      <c r="C123" s="264" t="str">
        <f>VLOOKUP(Table4[[#This Row],[Rīcības kods]],Rīcibas_plans!$B$4:$D$234,3,FALSE)</f>
        <v>Gājēju iela svētku laikā - Skolas iela</v>
      </c>
      <c r="D123" s="265" t="str">
        <f>VLOOKUP($A123,'Pivot rīcības un objekti'!$A$4:$U$193,21,FALSE)</f>
        <v>Esošā autoceļa pārveidošana par gājēju ielu, savienojot Ābeļdārza teritoriju ar JIC un Ķekavas parku.</v>
      </c>
      <c r="E123" s="265">
        <f>VLOOKUP($A123,'Pivot rīcības un objekti'!$A$4:$U$193,E$9,FALSE)</f>
        <v>5</v>
      </c>
      <c r="F123" s="265">
        <f>VLOOKUP($A123,'Pivot rīcības un objekti'!$A$4:$U$193,F$9,FALSE)</f>
        <v>9</v>
      </c>
      <c r="G123" s="265">
        <f>VLOOKUP($A123,'Pivot rīcības un objekti'!$A$4:$U$193,G$9,FALSE)</f>
        <v>31</v>
      </c>
      <c r="H123" s="265" t="e">
        <f>VLOOKUP($A123,'Pivot rīcības un objekti'!$A$4:$U$193,H$9,FALSE)</f>
        <v>#VALUE!</v>
      </c>
      <c r="I123" s="265" t="e">
        <f>VLOOKUP($A123,'Pivot rīcības un objekti'!$A$4:$U$192,I$9,FALSE)</f>
        <v>#VALUE!</v>
      </c>
      <c r="J123" s="265" t="e">
        <f>VLOOKUP($A123,'Pivot rīcības un objekti'!$A$4:$U$192,J$9,FALSE)</f>
        <v>#VALUE!</v>
      </c>
      <c r="K123" s="293" t="e">
        <f>VLOOKUP(Table4[[#This Row],[Rīcības kods]],'Pivot rīcības un objekti'!$A$4:$T$233,19,FALSE)</f>
        <v>#VALUE!</v>
      </c>
      <c r="L123" s="265">
        <f>VLOOKUP(Table4[[#This Row],[Rīcības kods]],'Pivot rīcības un objekti'!$A$4:$F$232,6,FALSE)</f>
        <v>2</v>
      </c>
      <c r="M123" s="265">
        <f>VLOOKUP(Table4[[#This Row],[Rīcības kods]],'Pivot rīcības un objekti'!$A$4:$F$232,2,FALSE)</f>
        <v>0</v>
      </c>
      <c r="N123" s="266">
        <f>Table4[[#This Row],[Izmaksas, EUR]]+N122</f>
        <v>10012270</v>
      </c>
      <c r="O123" s="268"/>
    </row>
    <row r="124" spans="1:15" ht="32.450000000000003" customHeight="1">
      <c r="A124" s="262" t="s">
        <v>188</v>
      </c>
      <c r="B124" s="271" t="s">
        <v>324</v>
      </c>
      <c r="C124" s="264" t="str">
        <f>VLOOKUP(Table4[[#This Row],[Rīcības kods]],Rīcibas_plans!$B$4:$D$234,3,FALSE)</f>
        <v>Gājēju iela svētku laikā - Skolas iela</v>
      </c>
      <c r="D124" s="265" t="str">
        <f>VLOOKUP($A124,'Pivot rīcības un objekti'!$A$4:$U$193,21,FALSE)</f>
        <v>Esošā autoceļa pārveidošana par gājēju ielu, savienojot Ābeļdārza teritoriju ar JIC un Ķekavas parku.</v>
      </c>
      <c r="E124" s="265">
        <f>VLOOKUP($A124,'Pivot rīcības un objekti'!$A$4:$U$193,E$9,FALSE)</f>
        <v>5</v>
      </c>
      <c r="F124" s="265">
        <f>VLOOKUP($A124,'Pivot rīcības un objekti'!$A$4:$U$193,F$9,FALSE)</f>
        <v>20</v>
      </c>
      <c r="G124" s="265">
        <f>VLOOKUP($A124,'Pivot rīcības un objekti'!$A$4:$U$193,G$9,FALSE)</f>
        <v>46</v>
      </c>
      <c r="H124" s="265" t="e">
        <f>VLOOKUP($A124,'Pivot rīcības un objekti'!$A$4:$U$193,H$9,FALSE)</f>
        <v>#VALUE!</v>
      </c>
      <c r="I124" s="265" t="e">
        <f>VLOOKUP($A124,'Pivot rīcības un objekti'!$A$4:$U$192,I$9,FALSE)</f>
        <v>#VALUE!</v>
      </c>
      <c r="J124" s="265" t="e">
        <f>VLOOKUP($A124,'Pivot rīcības un objekti'!$A$4:$U$192,J$9,FALSE)</f>
        <v>#VALUE!</v>
      </c>
      <c r="K124" s="293" t="e">
        <f>VLOOKUP(Table4[[#This Row],[Rīcības kods]],'Pivot rīcības un objekti'!$A$4:$T$233,19,FALSE)</f>
        <v>#VALUE!</v>
      </c>
      <c r="L124" s="265">
        <f>VLOOKUP(Table4[[#This Row],[Rīcības kods]],'Pivot rīcības un objekti'!$A$4:$F$232,6,FALSE)</f>
        <v>2</v>
      </c>
      <c r="M124" s="265">
        <f>VLOOKUP(Table4[[#This Row],[Rīcības kods]],'Pivot rīcības un objekti'!$A$4:$F$232,2,FALSE)</f>
        <v>0</v>
      </c>
      <c r="N124" s="266">
        <f>Table4[[#This Row],[Izmaksas, EUR]]+N123</f>
        <v>10012270</v>
      </c>
      <c r="O124" s="268"/>
    </row>
    <row r="125" spans="1:15" ht="43.9" customHeight="1">
      <c r="A125" s="262" t="s">
        <v>189</v>
      </c>
      <c r="B125" s="271" t="s">
        <v>324</v>
      </c>
      <c r="C125" s="264" t="str">
        <f>VLOOKUP(Table4[[#This Row],[Rīcības kods]],Rīcibas_plans!$B$4:$D$234,3,FALSE)</f>
        <v>Gājēju ietve no Ķekavas uz Odukalna pieturu gar valsts autoceļu A7 (Rīga- Bauska- Lietuvas robeža)</v>
      </c>
      <c r="D125" s="265" t="str">
        <f>VLOOKUP($A125,'Pivot rīcības un objekti'!$A$4:$U$193,21,FALSE)</f>
        <v>Apgaismotas  ietves izbūve no Ķekavas sabiedriskā transporta pieturas līdz Odukalna sabiedriskā transporta pieturai (līdz gājēju pārejai)</v>
      </c>
      <c r="E125" s="265">
        <f>VLOOKUP($A125,'Pivot rīcības un objekti'!$A$4:$U$193,E$9,FALSE)</f>
        <v>93</v>
      </c>
      <c r="F125" s="265">
        <f>VLOOKUP($A125,'Pivot rīcības un objekti'!$A$4:$U$193,F$9,FALSE)</f>
        <v>66</v>
      </c>
      <c r="G125" s="265">
        <f>VLOOKUP($A125,'Pivot rīcības un objekti'!$A$4:$U$193,G$9,FALSE)</f>
        <v>99</v>
      </c>
      <c r="H125" s="265" t="e">
        <f>VLOOKUP($A125,'Pivot rīcības un objekti'!$A$4:$U$193,H$9,FALSE)</f>
        <v>#VALUE!</v>
      </c>
      <c r="I125" s="265" t="e">
        <f>VLOOKUP($A125,'Pivot rīcības un objekti'!$A$4:$U$192,I$9,FALSE)</f>
        <v>#VALUE!</v>
      </c>
      <c r="J125" s="265" t="e">
        <f>VLOOKUP($A125,'Pivot rīcības un objekti'!$A$4:$U$192,J$9,FALSE)</f>
        <v>#VALUE!</v>
      </c>
      <c r="K125" s="293" t="e">
        <f>VLOOKUP(Table4[[#This Row],[Rīcības kods]],'Pivot rīcības un objekti'!$A$4:$T$233,19,FALSE)</f>
        <v>#VALUE!</v>
      </c>
      <c r="L125" s="265">
        <f>VLOOKUP(Table4[[#This Row],[Rīcības kods]],'Pivot rīcības un objekti'!$A$4:$F$232,6,FALSE)</f>
        <v>2</v>
      </c>
      <c r="M125" s="265">
        <f>VLOOKUP(Table4[[#This Row],[Rīcības kods]],'Pivot rīcības un objekti'!$A$4:$F$232,2,FALSE)</f>
        <v>0</v>
      </c>
      <c r="N125" s="266">
        <f>Table4[[#This Row],[Izmaksas, EUR]]+N124</f>
        <v>10012270</v>
      </c>
      <c r="O125" s="268"/>
    </row>
    <row r="126" spans="1:15" ht="42">
      <c r="A126" s="262" t="s">
        <v>267</v>
      </c>
      <c r="B126" s="271" t="s">
        <v>328</v>
      </c>
      <c r="C126" s="264" t="str">
        <f>VLOOKUP(Table4[[#This Row],[Rīcības kods]],Rīcibas_plans!$B$4:$D$234,3,FALSE)</f>
        <v>Pļavniekkalna skolas priekšlaukums, Katlakalns, Pļavniekkalna iela 20</v>
      </c>
      <c r="D126" s="265" t="e">
        <f>VLOOKUP($A126,'Pivot rīcības un objekti'!$A$4:$U$193,21,FALSE)</f>
        <v>#N/A</v>
      </c>
      <c r="E126" s="265" t="e">
        <f>VLOOKUP($A126,'Pivot rīcības un objekti'!$A$4:$U$193,E$9,FALSE)</f>
        <v>#N/A</v>
      </c>
      <c r="F126" s="265" t="e">
        <f>VLOOKUP($A126,'Pivot rīcības un objekti'!$A$4:$U$193,F$9,FALSE)</f>
        <v>#N/A</v>
      </c>
      <c r="G126" s="265" t="e">
        <f>VLOOKUP($A126,'Pivot rīcības un objekti'!$A$4:$U$193,G$9,FALSE)</f>
        <v>#N/A</v>
      </c>
      <c r="H126" s="265" t="e">
        <f>VLOOKUP($A126,'Pivot rīcības un objekti'!$A$4:$U$193,H$9,FALSE)</f>
        <v>#N/A</v>
      </c>
      <c r="I126" s="265" t="e">
        <f>VLOOKUP($A126,'Pivot rīcības un objekti'!$A$4:$U$192,I$9,FALSE)</f>
        <v>#N/A</v>
      </c>
      <c r="J126" s="265" t="e">
        <f>VLOOKUP($A126,'Pivot rīcības un objekti'!$A$4:$U$192,J$9,FALSE)</f>
        <v>#N/A</v>
      </c>
      <c r="K126" s="293" t="e">
        <f>VLOOKUP(Table4[[#This Row],[Rīcības kods]],'Pivot rīcības un objekti'!$A$4:$T$233,19,FALSE)</f>
        <v>#VALUE!</v>
      </c>
      <c r="L126" s="265">
        <f>VLOOKUP(Table4[[#This Row],[Rīcības kods]],'Pivot rīcības un objekti'!$A$4:$F$232,6,FALSE)</f>
        <v>2</v>
      </c>
      <c r="M126" s="265">
        <f>VLOOKUP(Table4[[#This Row],[Rīcības kods]],'Pivot rīcības un objekti'!$A$4:$F$232,2,FALSE)</f>
        <v>0</v>
      </c>
      <c r="N126" s="266">
        <f>Table4[[#This Row],[Izmaksas, EUR]]+N125</f>
        <v>10012270</v>
      </c>
      <c r="O126" s="267"/>
    </row>
    <row r="127" spans="1:15" ht="28.15">
      <c r="A127" s="262" t="s">
        <v>73</v>
      </c>
      <c r="B127" s="271" t="s">
        <v>323</v>
      </c>
      <c r="C127" s="264" t="str">
        <f>VLOOKUP(Table4[[#This Row],[Rīcības kods]],Rīcibas_plans!$B$4:$D$234,3,FALSE)</f>
        <v>Baložu viduskolas apkārtne, Skolas iela 6, Baloži</v>
      </c>
      <c r="D127" s="265" t="str">
        <f>VLOOKUP($A127,'Pivot rīcības un objekti'!$A$4:$U$193,21,FALSE)</f>
        <v>Stadiona pārbūve</v>
      </c>
      <c r="E127" s="265">
        <f>VLOOKUP($A127,'Pivot rīcības un objekti'!$A$4:$U$193,E$9,FALSE)</f>
        <v>32</v>
      </c>
      <c r="F127" s="265">
        <f>VLOOKUP($A127,'Pivot rīcības un objekti'!$A$4:$U$193,F$9,FALSE)</f>
        <v>17</v>
      </c>
      <c r="G127" s="265">
        <f>VLOOKUP($A127,'Pivot rīcības un objekti'!$A$4:$U$193,G$9,FALSE)</f>
        <v>12</v>
      </c>
      <c r="H127" s="265" t="e">
        <f>VLOOKUP($A127,'Pivot rīcības un objekti'!$A$4:$U$193,H$9,FALSE)</f>
        <v>#VALUE!</v>
      </c>
      <c r="I127" s="265" t="e">
        <f>VLOOKUP($A127,'Pivot rīcības un objekti'!$A$4:$U$192,I$9,FALSE)</f>
        <v>#VALUE!</v>
      </c>
      <c r="J127" s="265" t="e">
        <f>VLOOKUP($A127,'Pivot rīcības un objekti'!$A$4:$U$192,J$9,FALSE)</f>
        <v>#VALUE!</v>
      </c>
      <c r="K127" s="293" t="e">
        <f>VLOOKUP(Table4[[#This Row],[Rīcības kods]],'Pivot rīcības un objekti'!$A$4:$T$233,19,FALSE)</f>
        <v>#VALUE!</v>
      </c>
      <c r="L127" s="265">
        <f>VLOOKUP(Table4[[#This Row],[Rīcības kods]],'Pivot rīcības un objekti'!$A$4:$F$232,6,FALSE)</f>
        <v>2</v>
      </c>
      <c r="M127" s="265">
        <f>VLOOKUP(Table4[[#This Row],[Rīcības kods]],'Pivot rīcības un objekti'!$A$4:$F$232,2,FALSE)</f>
        <v>0</v>
      </c>
      <c r="N127" s="266">
        <f>Table4[[#This Row],[Izmaksas, EUR]]+N126</f>
        <v>10012270</v>
      </c>
      <c r="O127" s="268"/>
    </row>
    <row r="128" spans="1:15" ht="49.15" customHeight="1">
      <c r="A128" s="262" t="s">
        <v>74</v>
      </c>
      <c r="B128" s="271" t="s">
        <v>330</v>
      </c>
      <c r="C128" s="264" t="str">
        <f>VLOOKUP(Table4[[#This Row],[Rīcības kods]],Rīcibas_plans!$B$4:$D$234,3,FALSE)</f>
        <v>Daudzdzīvokļu māju iekšpagalms/skvērs, Medema iela 11</v>
      </c>
      <c r="D128" s="265" t="str">
        <f>VLOOKUP($A128,'Pivot rīcības un objekti'!$A$4:$U$193,21,FALSE)</f>
        <v>Apstādījumu papildināšana (koku un krūmu stādījumi), rotaļu iekārtu papildināšana, lietišķās atpūtas vietas/laukums (L tipa). Savienojums ar citām rekreācijas teritorijām.</v>
      </c>
      <c r="E128" s="265">
        <f>VLOOKUP($A128,'Pivot rīcības un objekti'!$A$4:$U$193,E$9,FALSE)</f>
        <v>40</v>
      </c>
      <c r="F128" s="265">
        <f>VLOOKUP($A128,'Pivot rīcības un objekti'!$A$4:$U$193,F$9,FALSE)</f>
        <v>43</v>
      </c>
      <c r="G128" s="265">
        <f>VLOOKUP($A128,'Pivot rīcības un objekti'!$A$4:$U$193,G$9,FALSE)</f>
        <v>18</v>
      </c>
      <c r="H128" s="265" t="e">
        <f>VLOOKUP($A128,'Pivot rīcības un objekti'!$A$4:$U$193,H$9,FALSE)</f>
        <v>#VALUE!</v>
      </c>
      <c r="I128" s="265" t="e">
        <f>VLOOKUP($A128,'Pivot rīcības un objekti'!$A$4:$U$192,I$9,FALSE)</f>
        <v>#VALUE!</v>
      </c>
      <c r="J128" s="265" t="e">
        <f>VLOOKUP($A128,'Pivot rīcības un objekti'!$A$4:$U$192,J$9,FALSE)</f>
        <v>#VALUE!</v>
      </c>
      <c r="K128" s="293" t="e">
        <f>VLOOKUP(Table4[[#This Row],[Rīcības kods]],'Pivot rīcības un objekti'!$A$4:$T$233,19,FALSE)</f>
        <v>#VALUE!</v>
      </c>
      <c r="L128" s="265">
        <f>VLOOKUP(Table4[[#This Row],[Rīcības kods]],'Pivot rīcības un objekti'!$A$4:$F$232,6,FALSE)</f>
        <v>2</v>
      </c>
      <c r="M128" s="265">
        <f>VLOOKUP(Table4[[#This Row],[Rīcības kods]],'Pivot rīcības un objekti'!$A$4:$F$232,2,FALSE)</f>
        <v>0</v>
      </c>
      <c r="N128" s="266">
        <f>Table4[[#This Row],[Izmaksas, EUR]]+N127</f>
        <v>10012270</v>
      </c>
      <c r="O128" s="268"/>
    </row>
    <row r="129" spans="1:15" ht="54.6" customHeight="1">
      <c r="A129" s="262" t="s">
        <v>226</v>
      </c>
      <c r="B129" s="271" t="s">
        <v>324</v>
      </c>
      <c r="C129" s="264" t="str">
        <f>VLOOKUP(Table4[[#This Row],[Rīcības kods]],Rīcibas_plans!$B$4:$D$234,3,FALSE)</f>
        <v>Reģionālais mobilitātes punkts Ķekavā Gaismas ielā 21 un/vai Gaismas ielā 20</v>
      </c>
      <c r="D129" s="265" t="str">
        <f>VLOOKUP($A129,'Pivot rīcības un objekti'!$A$4:$U$193,21,FALSE)</f>
        <v>Reģiona mobilitātes punkta izveide,kas ietver teritorijas labiekārtojumu ar autostāvvietu, elektrouzlādes vietu, velosipēdu novietņu izveidi, gājēju un velo infrastruktūru.</v>
      </c>
      <c r="E129" s="265">
        <f>VLOOKUP($A129,'Pivot rīcības un objekti'!$A$4:$U$193,E$9,FALSE)</f>
        <v>2</v>
      </c>
      <c r="F129" s="265">
        <f>VLOOKUP($A129,'Pivot rīcības un objekti'!$A$4:$U$193,F$9,FALSE)</f>
        <v>6</v>
      </c>
      <c r="G129" s="265">
        <f>VLOOKUP($A129,'Pivot rīcības un objekti'!$A$4:$U$193,G$9,FALSE)</f>
        <v>17</v>
      </c>
      <c r="H129" s="265" t="e">
        <f>VLOOKUP($A129,'Pivot rīcības un objekti'!$A$4:$U$193,H$9,FALSE)</f>
        <v>#VALUE!</v>
      </c>
      <c r="I129" s="265" t="e">
        <f>VLOOKUP($A129,'Pivot rīcības un objekti'!$A$4:$U$192,I$9,FALSE)</f>
        <v>#VALUE!</v>
      </c>
      <c r="J129" s="265" t="e">
        <f>VLOOKUP($A129,'Pivot rīcības un objekti'!$A$4:$U$192,J$9,FALSE)</f>
        <v>#VALUE!</v>
      </c>
      <c r="K129" s="293" t="e">
        <f>VLOOKUP(Table4[[#This Row],[Rīcības kods]],'Pivot rīcības un objekti'!$A$4:$T$233,19,FALSE)</f>
        <v>#VALUE!</v>
      </c>
      <c r="L129" s="265">
        <f>VLOOKUP(Table4[[#This Row],[Rīcības kods]],'Pivot rīcības un objekti'!$A$4:$F$232,6,FALSE)</f>
        <v>2</v>
      </c>
      <c r="M129" s="266">
        <f>VLOOKUP(Table4[[#This Row],[Rīcības kods]],'Pivot rīcības un objekti'!$A$4:$F$232,2,FALSE)</f>
        <v>0</v>
      </c>
      <c r="N129" s="266">
        <f>Table4[[#This Row],[Izmaksas, EUR]]+N128</f>
        <v>10012270</v>
      </c>
      <c r="O129" s="276"/>
    </row>
    <row r="130" spans="1:15" ht="30" customHeight="1">
      <c r="A130" s="262" t="s">
        <v>66</v>
      </c>
      <c r="B130" s="271" t="s">
        <v>330</v>
      </c>
      <c r="C130" s="264" t="str">
        <f>VLOOKUP(Table4[[#This Row],[Rīcības kods]],Rīcibas_plans!$B$4:$D$234,3,FALSE)</f>
        <v xml:space="preserve">Titurgas ielas gājēju ietve </v>
      </c>
      <c r="D130" s="265" t="str">
        <f>VLOOKUP($A130,'Pivot rīcības un objekti'!$A$4:$U$193,21,FALSE)</f>
        <v>Gājēju un velo infrastruktūras segums līdz Titurgas ezeram pa Titurgas ielu</v>
      </c>
      <c r="E130" s="265">
        <f>VLOOKUP($A130,'Pivot rīcības un objekti'!$A$4:$U$193,E$9,FALSE)</f>
        <v>26</v>
      </c>
      <c r="F130" s="265">
        <f>VLOOKUP($A130,'Pivot rīcības un objekti'!$A$4:$U$193,F$9,FALSE)</f>
        <v>18</v>
      </c>
      <c r="G130" s="265">
        <f>VLOOKUP($A130,'Pivot rīcības un objekti'!$A$4:$U$193,G$9,FALSE)</f>
        <v>39</v>
      </c>
      <c r="H130" s="265">
        <f>VLOOKUP($A130,'Pivot rīcības un objekti'!$A$4:$U$193,H$9,FALSE)</f>
        <v>17</v>
      </c>
      <c r="I130" s="265">
        <f>VLOOKUP($A130,'Pivot rīcības un objekti'!$A$4:$U$192,I$9,FALSE)</f>
        <v>15</v>
      </c>
      <c r="J130" s="265">
        <f>VLOOKUP($A130,'Pivot rīcības un objekti'!$A$4:$U$192,J$9,FALSE)</f>
        <v>18</v>
      </c>
      <c r="K130" s="293">
        <f>VLOOKUP(Table4[[#This Row],[Rīcības kods]],'Pivot rīcības un objekti'!$A$4:$T$233,19,FALSE)</f>
        <v>22.166666666666668</v>
      </c>
      <c r="L130" s="265">
        <f>VLOOKUP(Table4[[#This Row],[Rīcības kods]],'Pivot rīcības un objekti'!$A$4:$F$232,6,FALSE)</f>
        <v>3</v>
      </c>
      <c r="M130" s="266">
        <f>VLOOKUP(Table4[[#This Row],[Rīcības kods]],'Pivot rīcības un objekti'!$A$4:$F$232,2,FALSE)</f>
        <v>11060</v>
      </c>
      <c r="N130" s="266">
        <f>Table4[[#This Row],[Izmaksas, EUR]]+N129</f>
        <v>10023330</v>
      </c>
      <c r="O130" s="268"/>
    </row>
    <row r="131" spans="1:15" ht="29.45" customHeight="1">
      <c r="A131" s="262" t="s">
        <v>65</v>
      </c>
      <c r="B131" s="271" t="s">
        <v>330</v>
      </c>
      <c r="C131" s="264" t="str">
        <f>VLOOKUP(Table4[[#This Row],[Rīcības kods]],Rīcibas_plans!$B$4:$D$234,3,FALSE)</f>
        <v xml:space="preserve">Titurgas ielas gājēju ietve </v>
      </c>
      <c r="D131" s="265" t="str">
        <f>VLOOKUP($A131,'Pivot rīcības un objekti'!$A$4:$U$193,21,FALSE)</f>
        <v>Gājēju un velo infrastruktūras segums līdz Titurgas ezeram pa Titurgas ielu</v>
      </c>
      <c r="E131" s="265">
        <f>VLOOKUP($A131,'Pivot rīcības un objekti'!$A$4:$U$193,E$9,FALSE)</f>
        <v>26</v>
      </c>
      <c r="F131" s="265">
        <f>VLOOKUP($A131,'Pivot rīcības un objekti'!$A$4:$U$193,F$9,FALSE)</f>
        <v>18</v>
      </c>
      <c r="G131" s="265">
        <f>VLOOKUP($A131,'Pivot rīcības un objekti'!$A$4:$U$193,G$9,FALSE)</f>
        <v>13</v>
      </c>
      <c r="H131" s="265">
        <f>VLOOKUP($A131,'Pivot rīcības un objekti'!$A$4:$U$193,H$9,FALSE)</f>
        <v>50</v>
      </c>
      <c r="I131" s="265">
        <f>VLOOKUP($A131,'Pivot rīcības un objekti'!$A$4:$U$192,I$9,FALSE)</f>
        <v>37</v>
      </c>
      <c r="J131" s="265">
        <f>VLOOKUP($A131,'Pivot rīcības un objekti'!$A$4:$U$192,J$9,FALSE)</f>
        <v>25</v>
      </c>
      <c r="K131" s="293">
        <f>VLOOKUP(Table4[[#This Row],[Rīcības kods]],'Pivot rīcības un objekti'!$A$4:$T$233,19,FALSE)</f>
        <v>28.166666666666668</v>
      </c>
      <c r="L131" s="265">
        <f>VLOOKUP(Table4[[#This Row],[Rīcības kods]],'Pivot rīcības un objekti'!$A$4:$F$232,6,FALSE)</f>
        <v>3</v>
      </c>
      <c r="M131" s="265">
        <f>VLOOKUP(Table4[[#This Row],[Rīcības kods]],'Pivot rīcības un objekti'!$A$4:$F$232,2,FALSE)</f>
        <v>55000</v>
      </c>
      <c r="N131" s="266">
        <f>Table4[[#This Row],[Izmaksas, EUR]]+N130</f>
        <v>10078330</v>
      </c>
      <c r="O131" s="267"/>
    </row>
    <row r="132" spans="1:15" ht="31.15" customHeight="1">
      <c r="A132" s="262" t="s">
        <v>218</v>
      </c>
      <c r="B132" s="271" t="s">
        <v>324</v>
      </c>
      <c r="C132" s="264" t="str">
        <f>VLOOKUP(Table4[[#This Row],[Rīcības kods]],Rīcibas_plans!$B$4:$D$234,3,FALSE)</f>
        <v>Atpūtas vieta pie ūdens "Murdiņi", Dārznieku iela 13, Ķekava</v>
      </c>
      <c r="D132" s="265" t="str">
        <f>VLOOKUP($A132,'Pivot rīcības un objekti'!$A$4:$U$193,21,FALSE)</f>
        <v xml:space="preserve">Laivu nolaišanas vietas izbūve. SUP vietas izbūve, Sporta laukuma izbūve </v>
      </c>
      <c r="E132" s="265">
        <f>VLOOKUP($A132,'Pivot rīcības un objekti'!$A$4:$U$193,E$9,FALSE)</f>
        <v>40</v>
      </c>
      <c r="F132" s="265">
        <f>VLOOKUP($A132,'Pivot rīcības un objekti'!$A$4:$U$193,F$9,FALSE)</f>
        <v>87</v>
      </c>
      <c r="G132" s="265">
        <f>VLOOKUP($A132,'Pivot rīcības un objekti'!$A$4:$U$193,G$9,FALSE)</f>
        <v>35</v>
      </c>
      <c r="H132" s="265">
        <f>VLOOKUP($A132,'Pivot rīcības un objekti'!$A$4:$U$193,H$9,FALSE)</f>
        <v>33</v>
      </c>
      <c r="I132" s="265">
        <f>VLOOKUP($A132,'Pivot rīcības un objekti'!$A$4:$U$192,I$9,FALSE)</f>
        <v>56</v>
      </c>
      <c r="J132" s="265">
        <f>VLOOKUP($A132,'Pivot rīcības un objekti'!$A$4:$U$192,J$9,FALSE)</f>
        <v>21</v>
      </c>
      <c r="K132" s="293">
        <f>VLOOKUP(Table4[[#This Row],[Rīcības kods]],'Pivot rīcības un objekti'!$A$4:$T$233,19,FALSE)</f>
        <v>45.333333333333336</v>
      </c>
      <c r="L132" s="265">
        <f>VLOOKUP(Table4[[#This Row],[Rīcības kods]],'Pivot rīcības un objekti'!$A$4:$F$232,6,FALSE)</f>
        <v>3</v>
      </c>
      <c r="M132" s="265">
        <f>VLOOKUP(Table4[[#This Row],[Rīcības kods]],'Pivot rīcības un objekti'!$A$4:$F$232,2,FALSE)</f>
        <v>15000</v>
      </c>
      <c r="N132" s="266">
        <f>Table4[[#This Row],[Izmaksas, EUR]]+N131</f>
        <v>10093330</v>
      </c>
      <c r="O132" s="268"/>
    </row>
    <row r="133" spans="1:15" ht="34.9" customHeight="1">
      <c r="A133" s="262" t="s">
        <v>110</v>
      </c>
      <c r="B133" s="271" t="s">
        <v>293</v>
      </c>
      <c r="C133" s="264" t="str">
        <f>VLOOKUP(Table4[[#This Row],[Rīcības kods]],Rīcibas_plans!$B$4:$D$234,3,FALSE)</f>
        <v>Reģionālais mobilitātes punkts. Rīgas iela 91 un Pasta iela 9</v>
      </c>
      <c r="D133" s="265" t="str">
        <f>VLOOKUP($A133,'Pivot rīcības un objekti'!$A$4:$U$193,21,FALSE)</f>
        <v>Reģiona mobilitātes punkta izveide,kas ietver teritorijas labiekārtojumu ar autostāvvietu, elektrouzlādes vietu, velosipēdu novietņu izveidi, gājēju un velo infrastruktūru.</v>
      </c>
      <c r="E133" s="265">
        <f>VLOOKUP($A133,'Pivot rīcības un objekti'!$A$4:$U$193,E$9,FALSE)</f>
        <v>40</v>
      </c>
      <c r="F133" s="265">
        <f>VLOOKUP($A133,'Pivot rīcības un objekti'!$A$4:$U$193,F$9,FALSE)</f>
        <v>20</v>
      </c>
      <c r="G133" s="265">
        <f>VLOOKUP($A133,'Pivot rīcības un objekti'!$A$4:$U$193,G$9,FALSE)</f>
        <v>35</v>
      </c>
      <c r="H133" s="265">
        <f>VLOOKUP($A133,'Pivot rīcības un objekti'!$A$4:$U$193,H$9,FALSE)</f>
        <v>75</v>
      </c>
      <c r="I133" s="265">
        <f>VLOOKUP($A133,'Pivot rīcības un objekti'!$A$4:$U$192,I$9,FALSE)</f>
        <v>51</v>
      </c>
      <c r="J133" s="265">
        <f>VLOOKUP($A133,'Pivot rīcības un objekti'!$A$4:$U$192,J$9,FALSE)</f>
        <v>57</v>
      </c>
      <c r="K133" s="293">
        <f>VLOOKUP(Table4[[#This Row],[Rīcības kods]],'Pivot rīcības un objekti'!$A$4:$T$233,19,FALSE)</f>
        <v>46.333333333333336</v>
      </c>
      <c r="L133" s="265">
        <f>VLOOKUP(Table4[[#This Row],[Rīcības kods]],'Pivot rīcības un objekti'!$A$4:$F$232,6,FALSE)</f>
        <v>3</v>
      </c>
      <c r="M133" s="265">
        <f>VLOOKUP(Table4[[#This Row],[Rīcības kods]],'Pivot rīcības un objekti'!$A$4:$F$232,2,FALSE)</f>
        <v>60000</v>
      </c>
      <c r="N133" s="266">
        <f>Table4[[#This Row],[Izmaksas, EUR]]+N132</f>
        <v>10153330</v>
      </c>
      <c r="O133" s="267"/>
    </row>
    <row r="134" spans="1:15" ht="21" customHeight="1">
      <c r="A134" s="262" t="s">
        <v>244</v>
      </c>
      <c r="B134" s="271" t="s">
        <v>325</v>
      </c>
      <c r="C134" s="264" t="str">
        <f>VLOOKUP(Table4[[#This Row],[Rīcības kods]],Rīcibas_plans!$B$4:$D$234,3,FALSE)</f>
        <v>Mežaparka zona "Baltā kāpa"</v>
      </c>
      <c r="D134" s="265" t="e">
        <f>VLOOKUP($A134,'Pivot rīcības un objekti'!$A$4:$U$193,21,FALSE)</f>
        <v>#N/A</v>
      </c>
      <c r="E134" s="265" t="e">
        <f>VLOOKUP($A134,'Pivot rīcības un objekti'!$A$4:$U$193,E$9,FALSE)</f>
        <v>#N/A</v>
      </c>
      <c r="F134" s="265" t="e">
        <f>VLOOKUP($A134,'Pivot rīcības un objekti'!$A$4:$U$193,F$9,FALSE)</f>
        <v>#N/A</v>
      </c>
      <c r="G134" s="265" t="e">
        <f>VLOOKUP($A134,'Pivot rīcības un objekti'!$A$4:$U$193,G$9,FALSE)</f>
        <v>#N/A</v>
      </c>
      <c r="H134" s="265" t="e">
        <f>VLOOKUP($A134,'Pivot rīcības un objekti'!$A$4:$U$193,H$9,FALSE)</f>
        <v>#N/A</v>
      </c>
      <c r="I134" s="265" t="e">
        <f>VLOOKUP($A134,'Pivot rīcības un objekti'!$A$4:$U$192,I$9,FALSE)</f>
        <v>#N/A</v>
      </c>
      <c r="J134" s="265" t="e">
        <f>VLOOKUP($A134,'Pivot rīcības un objekti'!$A$4:$U$192,J$9,FALSE)</f>
        <v>#N/A</v>
      </c>
      <c r="K134" s="293">
        <f>VLOOKUP(Table4[[#This Row],[Rīcības kods]],'Pivot rīcības un objekti'!$A$4:$T$233,19,FALSE)</f>
        <v>47</v>
      </c>
      <c r="L134" s="265">
        <f>VLOOKUP(Table4[[#This Row],[Rīcības kods]],'Pivot rīcības un objekti'!$A$4:$F$232,6,FALSE)</f>
        <v>3</v>
      </c>
      <c r="M134" s="265">
        <f>VLOOKUP(Table4[[#This Row],[Rīcības kods]],'Pivot rīcības un objekti'!$A$4:$F$232,2,FALSE)</f>
        <v>100000</v>
      </c>
      <c r="N134" s="266">
        <f>Table4[[#This Row],[Izmaksas, EUR]]+N133</f>
        <v>10253330</v>
      </c>
      <c r="O134" s="267"/>
    </row>
    <row r="135" spans="1:15" ht="18.600000000000001" customHeight="1">
      <c r="A135" s="262" t="s">
        <v>219</v>
      </c>
      <c r="B135" s="271" t="s">
        <v>326</v>
      </c>
      <c r="C135" s="264" t="str">
        <f>VLOOKUP(Table4[[#This Row],[Rīcības kods]],Rīcibas_plans!$B$4:$D$234,3,FALSE)</f>
        <v>Vides objekts - Ķekavas pilsētas zīme pie Odukalna ūdenstorņa, "Odiņš", Odukalns,</v>
      </c>
      <c r="D135" s="265" t="str">
        <f>VLOOKUP($A135,'Pivot rīcības un objekti'!$A$4:$U$193,21,FALSE)</f>
        <v>Vides objekta/zīmes - Ķekava - uzstādīšana</v>
      </c>
      <c r="E135" s="265">
        <f>VLOOKUP($A135,'Pivot rīcības un objekti'!$A$4:$U$193,E$9,FALSE)</f>
        <v>5</v>
      </c>
      <c r="F135" s="265">
        <f>VLOOKUP($A135,'Pivot rīcības un objekti'!$A$4:$U$193,F$9,FALSE)</f>
        <v>15</v>
      </c>
      <c r="G135" s="265">
        <f>VLOOKUP($A135,'Pivot rīcības un objekti'!$A$4:$U$193,G$9,FALSE)</f>
        <v>158</v>
      </c>
      <c r="H135" s="265">
        <f>VLOOKUP($A135,'Pivot rīcības un objekti'!$A$4:$U$193,H$9,FALSE)</f>
        <v>21</v>
      </c>
      <c r="I135" s="265">
        <f>VLOOKUP($A135,'Pivot rīcības un objekti'!$A$4:$U$192,I$9,FALSE)</f>
        <v>17</v>
      </c>
      <c r="J135" s="265">
        <f>VLOOKUP($A135,'Pivot rīcības un objekti'!$A$4:$U$192,J$9,FALSE)</f>
        <v>100</v>
      </c>
      <c r="K135" s="293">
        <f>VLOOKUP(Table4[[#This Row],[Rīcības kods]],'Pivot rīcības un objekti'!$A$4:$T$233,19,FALSE)</f>
        <v>52.666666666666664</v>
      </c>
      <c r="L135" s="265">
        <f>VLOOKUP(Table4[[#This Row],[Rīcības kods]],'Pivot rīcības un objekti'!$A$4:$F$232,6,FALSE)</f>
        <v>3</v>
      </c>
      <c r="M135" s="265">
        <f>VLOOKUP(Table4[[#This Row],[Rīcības kods]],'Pivot rīcības un objekti'!$A$4:$F$232,2,FALSE)</f>
        <v>15000</v>
      </c>
      <c r="N135" s="266">
        <f>Table4[[#This Row],[Izmaksas, EUR]]+N134</f>
        <v>10268330</v>
      </c>
      <c r="O135" s="268"/>
    </row>
    <row r="136" spans="1:15" ht="71.45" customHeight="1">
      <c r="A136" s="262" t="s">
        <v>113</v>
      </c>
      <c r="B136" s="271" t="s">
        <v>293</v>
      </c>
      <c r="C136" s="264" t="str">
        <f>VLOOKUP(Table4[[#This Row],[Rīcības kods]],Rīcibas_plans!$B$4:$D$234,3,FALSE)</f>
        <v>Gājēju pāreja uz Rīgas ielas (transporta mierināšanas pasākumi) pie Dzirnavu un Rīgas ielas krustojuma (pie zemes gabala Kļavu ielā 1)</v>
      </c>
      <c r="D136" s="265" t="str">
        <f>VLOOKUP($A136,'Pivot rīcības un objekti'!$A$4:$U$193,21,FALSE)</f>
        <v>Gājēju pārejas izbūve pie Dzirnavu ielas sabiedriskā transporta pieturas. Nepieciešama saskaņošana ar VAS "Latvijas valsts ceļi"</v>
      </c>
      <c r="E136" s="265">
        <f>VLOOKUP($A136,'Pivot rīcības un objekti'!$A$4:$U$193,E$9,FALSE)</f>
        <v>64</v>
      </c>
      <c r="F136" s="265">
        <f>VLOOKUP($A136,'Pivot rīcības un objekti'!$A$4:$U$193,F$9,FALSE)</f>
        <v>43</v>
      </c>
      <c r="G136" s="265">
        <f>VLOOKUP($A136,'Pivot rīcības un objekti'!$A$4:$U$193,G$9,FALSE)</f>
        <v>194</v>
      </c>
      <c r="H136" s="265">
        <f>VLOOKUP($A136,'Pivot rīcības un objekti'!$A$4:$U$193,H$9,FALSE)</f>
        <v>5</v>
      </c>
      <c r="I136" s="265">
        <f>VLOOKUP($A136,'Pivot rīcības un objekti'!$A$4:$U$192,I$9,FALSE)</f>
        <v>2</v>
      </c>
      <c r="J136" s="265">
        <f>VLOOKUP($A136,'Pivot rīcības un objekti'!$A$4:$U$192,J$9,FALSE)</f>
        <v>10</v>
      </c>
      <c r="K136" s="293">
        <f>VLOOKUP(Table4[[#This Row],[Rīcības kods]],'Pivot rīcības un objekti'!$A$4:$T$233,19,FALSE)</f>
        <v>53</v>
      </c>
      <c r="L136" s="265">
        <f>VLOOKUP(Table4[[#This Row],[Rīcības kods]],'Pivot rīcības un objekti'!$A$4:$F$232,6,FALSE)</f>
        <v>3</v>
      </c>
      <c r="M136" s="265">
        <f>VLOOKUP(Table4[[#This Row],[Rīcības kods]],'Pivot rīcības un objekti'!$A$4:$F$232,2,FALSE)</f>
        <v>100</v>
      </c>
      <c r="N136" s="266">
        <f>Table4[[#This Row],[Izmaksas, EUR]]+N135</f>
        <v>10268430</v>
      </c>
      <c r="O136" s="267"/>
    </row>
    <row r="137" spans="1:15" ht="18.600000000000001" customHeight="1">
      <c r="A137" s="262" t="s">
        <v>117</v>
      </c>
      <c r="B137" s="271" t="s">
        <v>293</v>
      </c>
      <c r="C137" s="264" t="str">
        <f>VLOOKUP(Table4[[#This Row],[Rīcības kods]],Rīcibas_plans!$B$4:$D$234,3,FALSE)</f>
        <v>Baldones dīķa atpūtas vieta "Saliņas"</v>
      </c>
      <c r="D137" s="265" t="str">
        <f>VLOOKUP($A137,'Pivot rīcības un objekti'!$A$4:$U$193,21,FALSE)</f>
        <v>Laivu un SUP nolaišanas vieta ūdenī.</v>
      </c>
      <c r="E137" s="265">
        <f>VLOOKUP($A137,'Pivot rīcības un objekti'!$A$4:$U$193,E$9,FALSE)</f>
        <v>76</v>
      </c>
      <c r="F137" s="265">
        <f>VLOOKUP($A137,'Pivot rīcības un objekti'!$A$4:$U$193,F$9,FALSE)</f>
        <v>130</v>
      </c>
      <c r="G137" s="265">
        <f>VLOOKUP($A137,'Pivot rīcības un objekti'!$A$4:$U$193,G$9,FALSE)</f>
        <v>46</v>
      </c>
      <c r="H137" s="265">
        <f>VLOOKUP($A137,'Pivot rīcības un objekti'!$A$4:$U$193,H$9,FALSE)</f>
        <v>47</v>
      </c>
      <c r="I137" s="265">
        <f>VLOOKUP($A137,'Pivot rīcības un objekti'!$A$4:$U$192,I$9,FALSE)</f>
        <v>75</v>
      </c>
      <c r="J137" s="265">
        <f>VLOOKUP($A137,'Pivot rīcības un objekti'!$A$4:$U$192,J$9,FALSE)</f>
        <v>31</v>
      </c>
      <c r="K137" s="293">
        <f>VLOOKUP(Table4[[#This Row],[Rīcības kods]],'Pivot rīcības un objekti'!$A$4:$T$233,19,FALSE)</f>
        <v>67.5</v>
      </c>
      <c r="L137" s="265">
        <f>VLOOKUP(Table4[[#This Row],[Rīcības kods]],'Pivot rīcības un objekti'!$A$4:$F$232,6,FALSE)</f>
        <v>3</v>
      </c>
      <c r="M137" s="265">
        <f>VLOOKUP(Table4[[#This Row],[Rīcības kods]],'Pivot rīcības un objekti'!$A$4:$F$232,2,FALSE)</f>
        <v>15000</v>
      </c>
      <c r="N137" s="266">
        <f>Table4[[#This Row],[Izmaksas, EUR]]+N136</f>
        <v>10283430</v>
      </c>
      <c r="O137" s="270"/>
    </row>
    <row r="138" spans="1:15" ht="49.15" customHeight="1">
      <c r="A138" s="262" t="s">
        <v>221</v>
      </c>
      <c r="B138" s="271" t="s">
        <v>324</v>
      </c>
      <c r="C138" s="264" t="str">
        <f>VLOOKUP(Table4[[#This Row],[Rīcības kods]],Rīcibas_plans!$B$4:$D$234,3,FALSE)</f>
        <v>Stāvlaukums un gājēju ietve (Dārznieku iela 3A un Dārznieku iela 3B</v>
      </c>
      <c r="D138" s="265" t="str">
        <f>VLOOKUP($A138,'Pivot rīcības un objekti'!$A$4:$U$193,21,FALSE)</f>
        <v>Nepieciešams stāvlaukums  un tilts gājējiem, lai uzlabout piekļuvi Grilparkam  apmeklētājiem baznīcai, tirgum.</v>
      </c>
      <c r="E138" s="265">
        <f>VLOOKUP($A138,'Pivot rīcības un objekti'!$A$4:$U$193,E$9,FALSE)</f>
        <v>40</v>
      </c>
      <c r="F138" s="265">
        <f>VLOOKUP($A138,'Pivot rīcības un objekti'!$A$4:$U$193,F$9,FALSE)</f>
        <v>58</v>
      </c>
      <c r="G138" s="265">
        <f>VLOOKUP($A138,'Pivot rīcības un objekti'!$A$4:$U$193,G$9,FALSE)</f>
        <v>74</v>
      </c>
      <c r="H138" s="265">
        <f>VLOOKUP($A138,'Pivot rīcības un objekti'!$A$4:$U$193,H$9,FALSE)</f>
        <v>56</v>
      </c>
      <c r="I138" s="265">
        <f>VLOOKUP($A138,'Pivot rīcības un objekti'!$A$4:$U$192,I$9,FALSE)</f>
        <v>62</v>
      </c>
      <c r="J138" s="265">
        <f>VLOOKUP($A138,'Pivot rīcības un objekti'!$A$4:$U$192,J$9,FALSE)</f>
        <v>69</v>
      </c>
      <c r="K138" s="293">
        <f>VLOOKUP(Table4[[#This Row],[Rīcības kods]],'Pivot rīcības un objekti'!$A$4:$T$233,19,FALSE)</f>
        <v>59.833333333333336</v>
      </c>
      <c r="L138" s="265">
        <f>VLOOKUP(Table4[[#This Row],[Rīcības kods]],'Pivot rīcības un objekti'!$A$4:$F$232,6,FALSE)</f>
        <v>3</v>
      </c>
      <c r="M138" s="265">
        <f>VLOOKUP(Table4[[#This Row],[Rīcības kods]],'Pivot rīcības un objekti'!$A$4:$F$232,2,FALSE)</f>
        <v>33600</v>
      </c>
      <c r="N138" s="266">
        <f>Table4[[#This Row],[Izmaksas, EUR]]+N137</f>
        <v>10317030</v>
      </c>
      <c r="O138" s="268"/>
    </row>
    <row r="139" spans="1:15" ht="30.6" customHeight="1">
      <c r="A139" s="262" t="s">
        <v>167</v>
      </c>
      <c r="B139" s="271" t="s">
        <v>324</v>
      </c>
      <c r="C139" s="264" t="str">
        <f>VLOOKUP(Table4[[#This Row],[Rīcības kods]],Rīcibas_plans!$B$4:$D$234,3,FALSE)</f>
        <v xml:space="preserve">`Ķekavas ūdensdzirnavas``, Kekavas parka DK-daļa ar rotaļu laukumu </v>
      </c>
      <c r="D139" s="265" t="str">
        <f>VLOOKUP($A139,'Pivot rīcības un objekti'!$A$4:$U$193,21,FALSE)</f>
        <v>Samazināt antropogēno slodzi uz apkārtejo teritoriju. Platāki gājēju ceļi, cietais segums, atbilstošs segums zem rotaļu iekārtām.</v>
      </c>
      <c r="E139" s="265">
        <f>VLOOKUP($A139,'Pivot rīcības un objekti'!$A$4:$U$193,E$9,FALSE)</f>
        <v>23</v>
      </c>
      <c r="F139" s="265">
        <f>VLOOKUP($A139,'Pivot rīcības un objekti'!$A$4:$U$193,F$9,FALSE)</f>
        <v>54</v>
      </c>
      <c r="G139" s="265">
        <f>VLOOKUP($A139,'Pivot rīcības un objekti'!$A$4:$U$193,G$9,FALSE)</f>
        <v>22</v>
      </c>
      <c r="H139" s="265">
        <f>VLOOKUP($A139,'Pivot rīcības un objekti'!$A$4:$U$193,H$9,FALSE)</f>
        <v>105</v>
      </c>
      <c r="I139" s="265">
        <f>VLOOKUP($A139,'Pivot rīcības un objekti'!$A$4:$U$192,I$9,FALSE)</f>
        <v>115</v>
      </c>
      <c r="J139" s="265">
        <f>VLOOKUP($A139,'Pivot rīcības un objekti'!$A$4:$U$192,J$9,FALSE)</f>
        <v>81</v>
      </c>
      <c r="K139" s="293">
        <f>VLOOKUP(Table4[[#This Row],[Rīcības kods]],'Pivot rīcības un objekti'!$A$4:$T$233,19,FALSE)</f>
        <v>66.666666666666671</v>
      </c>
      <c r="L139" s="265">
        <f>VLOOKUP(Table4[[#This Row],[Rīcības kods]],'Pivot rīcības un objekti'!$A$4:$F$232,6,FALSE)</f>
        <v>3</v>
      </c>
      <c r="M139" s="265">
        <f>VLOOKUP(Table4[[#This Row],[Rīcības kods]],'Pivot rīcības un objekti'!$A$4:$F$232,2,FALSE)</f>
        <v>275000</v>
      </c>
      <c r="N139" s="266">
        <f>Table4[[#This Row],[Izmaksas, EUR]]+N138</f>
        <v>10592030</v>
      </c>
      <c r="O139" s="268"/>
    </row>
    <row r="140" spans="1:15" ht="27.6" customHeight="1">
      <c r="A140" s="262" t="s">
        <v>97</v>
      </c>
      <c r="B140" s="271" t="s">
        <v>293</v>
      </c>
      <c r="C140" s="264" t="str">
        <f>VLOOKUP(Table4[[#This Row],[Rīcības kods]],Rīcibas_plans!$B$4:$D$234,3,FALSE)</f>
        <v>Ceriņu iela (aiz pirmsskolas iestādes)</v>
      </c>
      <c r="D140" s="265" t="str">
        <f>VLOOKUP($A140,'Pivot rīcības un objekti'!$A$4:$U$193,21,FALSE)</f>
        <v>Gājēju ietve. Autostāvvietas gar ielu. Lietišķās atpūtas vieta</v>
      </c>
      <c r="E140" s="265">
        <f>VLOOKUP($A140,'Pivot rīcības un objekti'!$A$4:$U$193,E$9,FALSE)</f>
        <v>55</v>
      </c>
      <c r="F140" s="265">
        <f>VLOOKUP($A140,'Pivot rīcības un objekti'!$A$4:$U$193,F$9,FALSE)</f>
        <v>27</v>
      </c>
      <c r="G140" s="265">
        <f>VLOOKUP($A140,'Pivot rīcības un objekti'!$A$4:$U$193,G$9,FALSE)</f>
        <v>107</v>
      </c>
      <c r="H140" s="265">
        <f>VLOOKUP($A140,'Pivot rīcības un objekti'!$A$4:$U$193,H$9,FALSE)</f>
        <v>69</v>
      </c>
      <c r="I140" s="265">
        <f>VLOOKUP($A140,'Pivot rīcības un objekti'!$A$4:$U$192,I$9,FALSE)</f>
        <v>45</v>
      </c>
      <c r="J140" s="265">
        <f>VLOOKUP($A140,'Pivot rīcības un objekti'!$A$4:$U$192,J$9,FALSE)</f>
        <v>101</v>
      </c>
      <c r="K140" s="293">
        <f>VLOOKUP(Table4[[#This Row],[Rīcības kods]],'Pivot rīcības un objekti'!$A$4:$T$233,19,FALSE)</f>
        <v>67.333333333333329</v>
      </c>
      <c r="L140" s="265">
        <f>VLOOKUP(Table4[[#This Row],[Rīcības kods]],'Pivot rīcības un objekti'!$A$4:$F$232,6,FALSE)</f>
        <v>3</v>
      </c>
      <c r="M140" s="265">
        <f>VLOOKUP(Table4[[#This Row],[Rīcības kods]],'Pivot rīcības un objekti'!$A$4:$F$232,2,FALSE)</f>
        <v>42000</v>
      </c>
      <c r="N140" s="266">
        <f>Table4[[#This Row],[Izmaksas, EUR]]+N139</f>
        <v>10634030</v>
      </c>
      <c r="O140" s="268"/>
    </row>
    <row r="141" spans="1:15" ht="34.9" customHeight="1">
      <c r="A141" s="262" t="s">
        <v>232</v>
      </c>
      <c r="B141" s="271" t="s">
        <v>324</v>
      </c>
      <c r="C141" s="264" t="str">
        <f>VLOOKUP(Table4[[#This Row],[Rīcības kods]],Rīcibas_plans!$B$4:$D$234,3,FALSE)</f>
        <v>Ķekavas upes ieteka, Ķekavas parks, Rīgas iela 71A,</v>
      </c>
      <c r="D141" s="265" t="str">
        <f>VLOOKUP($A141,'Pivot rīcības un objekti'!$A$4:$U$193,21,FALSE)</f>
        <v xml:space="preserve">Gājēju ceļu izbūve, veidojot savienojumus ar citām rekreācijas teritorijām. Stāvlaukums </v>
      </c>
      <c r="E141" s="265">
        <f>VLOOKUP($A141,'Pivot rīcības un objekti'!$A$4:$U$193,E$9,FALSE)</f>
        <v>55</v>
      </c>
      <c r="F141" s="265">
        <f>VLOOKUP($A141,'Pivot rīcības un objekti'!$A$4:$U$193,F$9,FALSE)</f>
        <v>95</v>
      </c>
      <c r="G141" s="265">
        <f>VLOOKUP($A141,'Pivot rīcības un objekti'!$A$4:$U$193,G$9,FALSE)</f>
        <v>71</v>
      </c>
      <c r="H141" s="265">
        <f>VLOOKUP($A141,'Pivot rīcības un objekti'!$A$4:$U$193,H$9,FALSE)</f>
        <v>50</v>
      </c>
      <c r="I141" s="265">
        <f>VLOOKUP($A141,'Pivot rīcības un objekti'!$A$4:$U$192,I$9,FALSE)</f>
        <v>78</v>
      </c>
      <c r="J141" s="265">
        <f>VLOOKUP($A141,'Pivot rīcības un objekti'!$A$4:$U$192,J$9,FALSE)</f>
        <v>62</v>
      </c>
      <c r="K141" s="293">
        <f>VLOOKUP(Table4[[#This Row],[Rīcības kods]],'Pivot rīcības un objekti'!$A$4:$T$233,19,FALSE)</f>
        <v>68.5</v>
      </c>
      <c r="L141" s="265">
        <f>VLOOKUP(Table4[[#This Row],[Rīcības kods]],'Pivot rīcības un objekti'!$A$4:$F$232,6,FALSE)</f>
        <v>3</v>
      </c>
      <c r="M141" s="265">
        <f>VLOOKUP(Table4[[#This Row],[Rīcības kods]],'Pivot rīcības un objekti'!$A$4:$F$232,2,FALSE)</f>
        <v>27500</v>
      </c>
      <c r="N141" s="266">
        <f>Table4[[#This Row],[Izmaksas, EUR]]+N140</f>
        <v>10661530</v>
      </c>
      <c r="O141" s="267"/>
    </row>
    <row r="142" spans="1:15" ht="42">
      <c r="A142" s="262" t="s">
        <v>261</v>
      </c>
      <c r="B142" s="271" t="s">
        <v>327</v>
      </c>
      <c r="C142" s="264" t="str">
        <f>VLOOKUP(Table4[[#This Row],[Rīcības kods]],Rīcibas_plans!$B$4:$D$234,3,FALSE)</f>
        <v>Valdlauču parks starp Meistaru ielu un autoceļu V1 (Valdlauči - Rāmava)</v>
      </c>
      <c r="D142" s="265" t="e">
        <f>VLOOKUP($A142,'Pivot rīcības un objekti'!$A$4:$U$193,21,FALSE)</f>
        <v>#N/A</v>
      </c>
      <c r="E142" s="265" t="e">
        <f>VLOOKUP($A142,'Pivot rīcības un objekti'!$A$4:$U$193,E$9,FALSE)</f>
        <v>#N/A</v>
      </c>
      <c r="F142" s="265" t="e">
        <f>VLOOKUP($A142,'Pivot rīcības un objekti'!$A$4:$U$193,F$9,FALSE)</f>
        <v>#N/A</v>
      </c>
      <c r="G142" s="265" t="e">
        <f>VLOOKUP($A142,'Pivot rīcības un objekti'!$A$4:$U$193,G$9,FALSE)</f>
        <v>#N/A</v>
      </c>
      <c r="H142" s="265" t="e">
        <f>VLOOKUP($A142,'Pivot rīcības un objekti'!$A$4:$U$193,H$9,FALSE)</f>
        <v>#N/A</v>
      </c>
      <c r="I142" s="265" t="e">
        <f>VLOOKUP($A142,'Pivot rīcības un objekti'!$A$4:$U$192,I$9,FALSE)</f>
        <v>#N/A</v>
      </c>
      <c r="J142" s="265" t="e">
        <f>VLOOKUP($A142,'Pivot rīcības un objekti'!$A$4:$U$192,J$9,FALSE)</f>
        <v>#N/A</v>
      </c>
      <c r="K142" s="293">
        <f>VLOOKUP(Table4[[#This Row],[Rīcības kods]],'Pivot rīcības un objekti'!$A$4:$T$233,19,FALSE)</f>
        <v>76.666666666666671</v>
      </c>
      <c r="L142" s="265">
        <f>VLOOKUP(Table4[[#This Row],[Rīcības kods]],'Pivot rīcības un objekti'!$A$4:$F$232,6,FALSE)</f>
        <v>3</v>
      </c>
      <c r="M142" s="265">
        <f>VLOOKUP(Table4[[#This Row],[Rīcības kods]],'Pivot rīcības un objekti'!$A$4:$F$232,2,FALSE)</f>
        <v>1400000</v>
      </c>
      <c r="N142" s="266">
        <f>Table4[[#This Row],[Izmaksas, EUR]]+N141</f>
        <v>12061530</v>
      </c>
      <c r="O142" s="267"/>
    </row>
    <row r="143" spans="1:15" ht="42">
      <c r="A143" s="262" t="s">
        <v>243</v>
      </c>
      <c r="B143" s="271" t="s">
        <v>325</v>
      </c>
      <c r="C143" s="264" t="str">
        <f>VLOOKUP(Table4[[#This Row],[Rīcības kods]],Rīcibas_plans!$B$4:$D$234,3,FALSE)</f>
        <v>Ziedoņa  skvērs pie Mazlēpju, Ozolīšu ielām un autoceļa V2 (Valdlauči - Rāmava)</v>
      </c>
      <c r="D143" s="265" t="e">
        <f>VLOOKUP($A143,'Pivot rīcības un objekti'!$A$4:$U$193,21,FALSE)</f>
        <v>#N/A</v>
      </c>
      <c r="E143" s="265" t="e">
        <f>VLOOKUP($A143,'Pivot rīcības un objekti'!$A$4:$U$193,E$9,FALSE)</f>
        <v>#N/A</v>
      </c>
      <c r="F143" s="265" t="e">
        <f>VLOOKUP($A143,'Pivot rīcības un objekti'!$A$4:$U$193,F$9,FALSE)</f>
        <v>#N/A</v>
      </c>
      <c r="G143" s="265" t="e">
        <f>VLOOKUP($A143,'Pivot rīcības un objekti'!$A$4:$U$193,G$9,FALSE)</f>
        <v>#N/A</v>
      </c>
      <c r="H143" s="265" t="e">
        <f>VLOOKUP($A143,'Pivot rīcības un objekti'!$A$4:$U$193,H$9,FALSE)</f>
        <v>#N/A</v>
      </c>
      <c r="I143" s="265" t="e">
        <f>VLOOKUP($A143,'Pivot rīcības un objekti'!$A$4:$U$192,I$9,FALSE)</f>
        <v>#N/A</v>
      </c>
      <c r="J143" s="265" t="e">
        <f>VLOOKUP($A143,'Pivot rīcības un objekti'!$A$4:$U$192,J$9,FALSE)</f>
        <v>#N/A</v>
      </c>
      <c r="K143" s="293">
        <f>VLOOKUP(Table4[[#This Row],[Rīcības kods]],'Pivot rīcības un objekti'!$A$4:$T$233,19,FALSE)</f>
        <v>80.333333333333329</v>
      </c>
      <c r="L143" s="265">
        <f>VLOOKUP(Table4[[#This Row],[Rīcības kods]],'Pivot rīcības un objekti'!$A$4:$F$232,6,FALSE)</f>
        <v>3</v>
      </c>
      <c r="M143" s="265">
        <f>VLOOKUP(Table4[[#This Row],[Rīcības kods]],'Pivot rīcības un objekti'!$A$4:$F$232,2,FALSE)</f>
        <v>412500</v>
      </c>
      <c r="N143" s="266">
        <f>Table4[[#This Row],[Izmaksas, EUR]]+N142</f>
        <v>12474030</v>
      </c>
      <c r="O143" s="267"/>
    </row>
    <row r="144" spans="1:15" ht="32.450000000000003" customHeight="1">
      <c r="A144" s="262" t="s">
        <v>119</v>
      </c>
      <c r="B144" s="271" t="s">
        <v>293</v>
      </c>
      <c r="C144" s="264" t="str">
        <f>VLOOKUP(Table4[[#This Row],[Rīcības kods]],Rīcibas_plans!$B$4:$D$234,3,FALSE)</f>
        <v>Vanagkalna iela</v>
      </c>
      <c r="D144" s="265" t="str">
        <f>VLOOKUP($A144,'Pivot rīcības un objekti'!$A$4:$U$193,21,FALSE)</f>
        <v>Apgaismotas ietves izbūve līdz Vanagkalna estrādei. Lietišķās atpūtas vietas (S)</v>
      </c>
      <c r="E144" s="265">
        <f>VLOOKUP($A144,'Pivot rīcības un objekti'!$A$4:$U$193,E$9,FALSE)</f>
        <v>76</v>
      </c>
      <c r="F144" s="265">
        <f>VLOOKUP($A144,'Pivot rīcības un objekti'!$A$4:$U$193,F$9,FALSE)</f>
        <v>62</v>
      </c>
      <c r="G144" s="265">
        <f>VLOOKUP($A144,'Pivot rīcības un objekti'!$A$4:$U$193,G$9,FALSE)</f>
        <v>46</v>
      </c>
      <c r="H144" s="265">
        <f>VLOOKUP($A144,'Pivot rīcības un objekti'!$A$4:$U$193,H$9,FALSE)</f>
        <v>112</v>
      </c>
      <c r="I144" s="265">
        <f>VLOOKUP($A144,'Pivot rīcības un objekti'!$A$4:$U$192,I$9,FALSE)</f>
        <v>97</v>
      </c>
      <c r="J144" s="265">
        <f>VLOOKUP($A144,'Pivot rīcības un objekti'!$A$4:$U$192,J$9,FALSE)</f>
        <v>90</v>
      </c>
      <c r="K144" s="293">
        <f>VLOOKUP(Table4[[#This Row],[Rīcības kods]],'Pivot rīcības un objekti'!$A$4:$T$233,19,FALSE)</f>
        <v>80.5</v>
      </c>
      <c r="L144" s="265">
        <f>VLOOKUP(Table4[[#This Row],[Rīcības kods]],'Pivot rīcības un objekti'!$A$4:$F$232,6,FALSE)</f>
        <v>3</v>
      </c>
      <c r="M144" s="265">
        <f>VLOOKUP(Table4[[#This Row],[Rīcības kods]],'Pivot rīcības un objekti'!$A$4:$F$232,2,FALSE)</f>
        <v>105000</v>
      </c>
      <c r="N144" s="266">
        <f>Table4[[#This Row],[Izmaksas, EUR]]+N143</f>
        <v>12579030</v>
      </c>
      <c r="O144" s="268"/>
    </row>
    <row r="145" spans="1:15" ht="42">
      <c r="A145" s="262" t="s">
        <v>130</v>
      </c>
      <c r="B145" s="271" t="s">
        <v>329</v>
      </c>
      <c r="C145" s="264" t="str">
        <f>VLOOKUP(Table4[[#This Row],[Rīcības kods]],Rīcibas_plans!$B$4:$D$234,3,FALSE)</f>
        <v>Mikromobilitātes punkts Daugmalē (vieta jāprecizē), stāvlaukums pie pieturas?</v>
      </c>
      <c r="D145" s="265" t="str">
        <f>VLOOKUP($A145,'Pivot rīcības un objekti'!$A$4:$U$193,21,FALSE)</f>
        <v>Mikromobilitātes punkta izveide</v>
      </c>
      <c r="E145" s="265">
        <f>VLOOKUP($A145,'Pivot rīcības un objekti'!$A$4:$U$193,E$9,FALSE)</f>
        <v>130</v>
      </c>
      <c r="F145" s="265">
        <f>VLOOKUP($A145,'Pivot rīcības un objekti'!$A$4:$U$193,F$9,FALSE)</f>
        <v>73</v>
      </c>
      <c r="G145" s="265">
        <f>VLOOKUP($A145,'Pivot rīcības un objekti'!$A$4:$U$193,G$9,FALSE)</f>
        <v>95</v>
      </c>
      <c r="H145" s="265">
        <f>VLOOKUP($A145,'Pivot rīcības un objekti'!$A$4:$U$193,H$9,FALSE)</f>
        <v>85</v>
      </c>
      <c r="I145" s="265">
        <f>VLOOKUP($A145,'Pivot rīcības un objekti'!$A$4:$U$192,I$9,FALSE)</f>
        <v>56</v>
      </c>
      <c r="J145" s="265">
        <f>VLOOKUP($A145,'Pivot rīcības un objekti'!$A$4:$U$192,J$9,FALSE)</f>
        <v>65</v>
      </c>
      <c r="K145" s="293">
        <f>VLOOKUP(Table4[[#This Row],[Rīcības kods]],'Pivot rīcības un objekti'!$A$4:$T$233,19,FALSE)</f>
        <v>84</v>
      </c>
      <c r="L145" s="265">
        <f>VLOOKUP(Table4[[#This Row],[Rīcības kods]],'Pivot rīcības un objekti'!$A$4:$F$232,6,FALSE)</f>
        <v>3</v>
      </c>
      <c r="M145" s="266">
        <f>VLOOKUP(Table4[[#This Row],[Rīcības kods]],'Pivot rīcības un objekti'!$A$4:$F$232,2,FALSE)</f>
        <v>20000</v>
      </c>
      <c r="N145" s="266">
        <f>Table4[[#This Row],[Izmaksas, EUR]]+N144</f>
        <v>12599030</v>
      </c>
      <c r="O145" s="268"/>
    </row>
    <row r="146" spans="1:15">
      <c r="A146" s="262" t="s">
        <v>224</v>
      </c>
      <c r="B146" s="271" t="s">
        <v>326</v>
      </c>
      <c r="C146" s="264" t="str">
        <f>VLOOKUP(Table4[[#This Row],[Rīcības kods]],Rīcibas_plans!$B$4:$D$234,3,FALSE)</f>
        <v>Mikromobilitātes punkts Odukalnā</v>
      </c>
      <c r="D146" s="265" t="str">
        <f>VLOOKUP($A146,'Pivot rīcības un objekti'!$A$4:$U$193,21,FALSE)</f>
        <v>Mikromobilitātes punkta izveide</v>
      </c>
      <c r="E146" s="265">
        <f>VLOOKUP($A146,'Pivot rīcības un objekti'!$A$4:$U$193,E$9,FALSE)</f>
        <v>130</v>
      </c>
      <c r="F146" s="265">
        <f>VLOOKUP($A146,'Pivot rīcības un objekti'!$A$4:$U$193,F$9,FALSE)</f>
        <v>73</v>
      </c>
      <c r="G146" s="265">
        <f>VLOOKUP($A146,'Pivot rīcības un objekti'!$A$4:$U$193,G$9,FALSE)</f>
        <v>95</v>
      </c>
      <c r="H146" s="265">
        <f>VLOOKUP($A146,'Pivot rīcības un objekti'!$A$4:$U$193,H$9,FALSE)</f>
        <v>85</v>
      </c>
      <c r="I146" s="265">
        <f>VLOOKUP($A146,'Pivot rīcības un objekti'!$A$4:$U$192,I$9,FALSE)</f>
        <v>56</v>
      </c>
      <c r="J146" s="265">
        <f>VLOOKUP($A146,'Pivot rīcības un objekti'!$A$4:$U$192,J$9,FALSE)</f>
        <v>65</v>
      </c>
      <c r="K146" s="293">
        <f>VLOOKUP(Table4[[#This Row],[Rīcības kods]],'Pivot rīcības un objekti'!$A$4:$T$233,19,FALSE)</f>
        <v>84</v>
      </c>
      <c r="L146" s="265">
        <f>VLOOKUP(Table4[[#This Row],[Rīcības kods]],'Pivot rīcības un objekti'!$A$4:$F$232,6,FALSE)</f>
        <v>3</v>
      </c>
      <c r="M146" s="266">
        <f>VLOOKUP(Table4[[#This Row],[Rīcības kods]],'Pivot rīcības un objekti'!$A$4:$F$232,2,FALSE)</f>
        <v>20000</v>
      </c>
      <c r="N146" s="266">
        <f>Table4[[#This Row],[Izmaksas, EUR]]+N145</f>
        <v>12619030</v>
      </c>
      <c r="O146" s="268"/>
    </row>
    <row r="147" spans="1:15" ht="28.15">
      <c r="A147" s="262" t="s">
        <v>179</v>
      </c>
      <c r="B147" s="271" t="s">
        <v>324</v>
      </c>
      <c r="C147" s="264" t="str">
        <f>VLOOKUP(Table4[[#This Row],[Rīcības kods]],Rīcibas_plans!$B$4:$D$234,3,FALSE)</f>
        <v>Ķekavas sporta klubs, `Fortius```Delta``</v>
      </c>
      <c r="D147" s="265" t="str">
        <f>VLOOKUP($A147,'Pivot rīcības un objekti'!$A$4:$U$193,21,FALSE)</f>
        <v>Aktīvās atpūtas labiekārtojuma papildināšana</v>
      </c>
      <c r="E147" s="265">
        <f>VLOOKUP($A147,'Pivot rīcības un objekti'!$A$4:$U$193,E$9,FALSE)</f>
        <v>93</v>
      </c>
      <c r="F147" s="265">
        <f>VLOOKUP($A147,'Pivot rīcības un objekti'!$A$4:$U$193,F$9,FALSE)</f>
        <v>134</v>
      </c>
      <c r="G147" s="265">
        <f>VLOOKUP($A147,'Pivot rīcības un objekti'!$A$4:$U$193,G$9,FALSE)</f>
        <v>56</v>
      </c>
      <c r="H147" s="265">
        <f>VLOOKUP($A147,'Pivot rīcības un objekti'!$A$4:$U$193,H$9,FALSE)</f>
        <v>96</v>
      </c>
      <c r="I147" s="265">
        <f>VLOOKUP($A147,'Pivot rīcības un objekti'!$A$4:$U$192,I$9,FALSE)</f>
        <v>102</v>
      </c>
      <c r="J147" s="265">
        <f>VLOOKUP($A147,'Pivot rīcības un objekti'!$A$4:$U$192,J$9,FALSE)</f>
        <v>52</v>
      </c>
      <c r="K147" s="293">
        <f>VLOOKUP(Table4[[#This Row],[Rīcības kods]],'Pivot rīcības un objekti'!$A$4:$T$233,19,FALSE)</f>
        <v>88.833333333333329</v>
      </c>
      <c r="L147" s="265">
        <f>VLOOKUP(Table4[[#This Row],[Rīcības kods]],'Pivot rīcības un objekti'!$A$4:$F$232,6,FALSE)</f>
        <v>3</v>
      </c>
      <c r="M147" s="265">
        <f>VLOOKUP(Table4[[#This Row],[Rīcības kods]],'Pivot rīcības un objekti'!$A$4:$F$232,2,FALSE)</f>
        <v>30300</v>
      </c>
      <c r="N147" s="266">
        <f>Table4[[#This Row],[Izmaksas, EUR]]+N146</f>
        <v>12649330</v>
      </c>
      <c r="O147" s="269"/>
    </row>
    <row r="148" spans="1:15" ht="39" customHeight="1">
      <c r="A148" s="262" t="s">
        <v>59</v>
      </c>
      <c r="B148" s="271" t="s">
        <v>323</v>
      </c>
      <c r="C148" s="264" t="str">
        <f>VLOOKUP(Table4[[#This Row],[Rīcības kods]],Rīcibas_plans!$B$4:$D$234,3,FALSE)</f>
        <v>Rīgas ielas labiekārtošana, ietves pārbūve, veloceļa izbūve</v>
      </c>
      <c r="D148" s="265" t="str">
        <f>VLOOKUP($A148,'Pivot rīcības un objekti'!$A$4:$U$193,21,FALSE)</f>
        <v>Rīgas ielas no Rīgas iela 20 līdz Skolas ielai labiekārtošana. Gājēju un velo ceļa turpinājums. Lietišķās atpūtas vietu izvietošana (S tips)</v>
      </c>
      <c r="E148" s="265">
        <f>VLOOKUP($A148,'Pivot rīcības un objekti'!$A$4:$U$193,E$9,FALSE)</f>
        <v>93</v>
      </c>
      <c r="F148" s="265">
        <f>VLOOKUP($A148,'Pivot rīcības un objekti'!$A$4:$U$193,F$9,FALSE)</f>
        <v>95</v>
      </c>
      <c r="G148" s="265">
        <f>VLOOKUP($A148,'Pivot rīcības un objekti'!$A$4:$U$193,G$9,FALSE)</f>
        <v>71</v>
      </c>
      <c r="H148" s="265">
        <f>VLOOKUP($A148,'Pivot rīcības un objekti'!$A$4:$U$193,H$9,FALSE)</f>
        <v>103</v>
      </c>
      <c r="I148" s="265">
        <f>VLOOKUP($A148,'Pivot rīcības un objekti'!$A$4:$U$192,I$9,FALSE)</f>
        <v>95</v>
      </c>
      <c r="J148" s="265">
        <f>VLOOKUP($A148,'Pivot rīcības un objekti'!$A$4:$U$192,J$9,FALSE)</f>
        <v>78</v>
      </c>
      <c r="K148" s="293">
        <f>VLOOKUP(Table4[[#This Row],[Rīcības kods]],'Pivot rīcības un objekti'!$A$4:$T$233,19,FALSE)</f>
        <v>89.166666666666671</v>
      </c>
      <c r="L148" s="265">
        <f>VLOOKUP(Table4[[#This Row],[Rīcības kods]],'Pivot rīcības un objekti'!$A$4:$F$232,6,FALSE)</f>
        <v>3</v>
      </c>
      <c r="M148" s="265">
        <f>VLOOKUP(Table4[[#This Row],[Rīcības kods]],'Pivot rīcības un objekti'!$A$4:$F$232,2,FALSE)</f>
        <v>44000</v>
      </c>
      <c r="N148" s="266">
        <f>Table4[[#This Row],[Izmaksas, EUR]]+N147</f>
        <v>12693330</v>
      </c>
      <c r="O148" s="267"/>
    </row>
    <row r="149" spans="1:15" ht="40.15" customHeight="1">
      <c r="A149" s="262" t="s">
        <v>51</v>
      </c>
      <c r="B149" s="271" t="s">
        <v>323</v>
      </c>
      <c r="C149" s="264" t="str">
        <f>VLOOKUP(Table4[[#This Row],[Rīcības kods]],Rīcibas_plans!$B$4:$D$234,3,FALSE)</f>
        <v>Titurgas ielas gājēju un velosipēdistu infrastruktūra</v>
      </c>
      <c r="D149" s="265" t="str">
        <f>VLOOKUP($A149,'Pivot rīcības un objekti'!$A$4:$U$193,21,FALSE)</f>
        <v>Apgaismotas ietves izbūve no Saulgriežu ielas līdz Ezera ielai. Lietišķās atpūtas vietu izvietošana(S tips)</v>
      </c>
      <c r="E149" s="265">
        <f>VLOOKUP($A149,'Pivot rīcības un objekti'!$A$4:$U$193,E$9,FALSE)</f>
        <v>93</v>
      </c>
      <c r="F149" s="265">
        <f>VLOOKUP($A149,'Pivot rīcības un objekti'!$A$4:$U$193,F$9,FALSE)</f>
        <v>134</v>
      </c>
      <c r="G149" s="265">
        <f>VLOOKUP($A149,'Pivot rīcības un objekti'!$A$4:$U$193,G$9,FALSE)</f>
        <v>163</v>
      </c>
      <c r="H149" s="265">
        <f>VLOOKUP($A149,'Pivot rīcības un objekti'!$A$4:$U$193,H$9,FALSE)</f>
        <v>35</v>
      </c>
      <c r="I149" s="265">
        <f>VLOOKUP($A149,'Pivot rīcības un objekti'!$A$4:$U$192,I$9,FALSE)</f>
        <v>52</v>
      </c>
      <c r="J149" s="265">
        <f>VLOOKUP($A149,'Pivot rīcības un objekti'!$A$4:$U$192,J$9,FALSE)</f>
        <v>71</v>
      </c>
      <c r="K149" s="293">
        <f>VLOOKUP(Table4[[#This Row],[Rīcības kods]],'Pivot rīcības un objekti'!$A$4:$T$233,19,FALSE)</f>
        <v>91.333333333333329</v>
      </c>
      <c r="L149" s="265">
        <f>VLOOKUP(Table4[[#This Row],[Rīcības kods]],'Pivot rīcības un objekti'!$A$4:$F$232,6,FALSE)</f>
        <v>3</v>
      </c>
      <c r="M149" s="265">
        <f>VLOOKUP(Table4[[#This Row],[Rīcības kods]],'Pivot rīcības un objekti'!$A$4:$F$232,2,FALSE)</f>
        <v>5530</v>
      </c>
      <c r="N149" s="266">
        <f>Table4[[#This Row],[Izmaksas, EUR]]+N148</f>
        <v>12698860</v>
      </c>
      <c r="O149" s="268"/>
    </row>
    <row r="150" spans="1:15" ht="28.15">
      <c r="A150" s="262" t="s">
        <v>225</v>
      </c>
      <c r="B150" s="271" t="s">
        <v>345</v>
      </c>
      <c r="C150" s="264" t="str">
        <f>VLOOKUP(Table4[[#This Row],[Rīcības kods]],Rīcibas_plans!$B$4:$D$234,3,FALSE)</f>
        <v>Mikromobilitātes punkts  Vimbukrogā</v>
      </c>
      <c r="D150" s="265" t="str">
        <f>VLOOKUP($A150,'Pivot rīcības un objekti'!$A$4:$U$193,21,FALSE)</f>
        <v>Mikromobilitātes punkta izveide</v>
      </c>
      <c r="E150" s="265">
        <f>VLOOKUP($A150,'Pivot rīcības un objekti'!$A$4:$U$193,E$9,FALSE)</f>
        <v>134</v>
      </c>
      <c r="F150" s="265">
        <f>VLOOKUP($A150,'Pivot rīcības un objekti'!$A$4:$U$193,F$9,FALSE)</f>
        <v>84</v>
      </c>
      <c r="G150" s="265">
        <f>VLOOKUP($A150,'Pivot rīcības un objekti'!$A$4:$U$193,G$9,FALSE)</f>
        <v>105</v>
      </c>
      <c r="H150" s="265">
        <f>VLOOKUP($A150,'Pivot rīcības un objekti'!$A$4:$U$193,H$9,FALSE)</f>
        <v>93</v>
      </c>
      <c r="I150" s="265">
        <f>VLOOKUP($A150,'Pivot rīcības un objekti'!$A$4:$U$192,I$9,FALSE)</f>
        <v>63</v>
      </c>
      <c r="J150" s="265">
        <f>VLOOKUP($A150,'Pivot rīcības un objekti'!$A$4:$U$192,J$9,FALSE)</f>
        <v>70</v>
      </c>
      <c r="K150" s="293">
        <f>VLOOKUP(Table4[[#This Row],[Rīcības kods]],'Pivot rīcības un objekti'!$A$4:$T$233,19,FALSE)</f>
        <v>91.5</v>
      </c>
      <c r="L150" s="265">
        <f>VLOOKUP(Table4[[#This Row],[Rīcības kods]],'Pivot rīcības un objekti'!$A$4:$F$232,6,FALSE)</f>
        <v>3</v>
      </c>
      <c r="M150" s="266">
        <f>VLOOKUP(Table4[[#This Row],[Rīcības kods]],'Pivot rīcības un objekti'!$A$4:$F$232,2,FALSE)</f>
        <v>20000</v>
      </c>
      <c r="N150" s="266">
        <f>Table4[[#This Row],[Izmaksas, EUR]]+N149</f>
        <v>12718860</v>
      </c>
      <c r="O150" s="268"/>
    </row>
    <row r="151" spans="1:15">
      <c r="A151" s="262" t="s">
        <v>67</v>
      </c>
      <c r="B151" s="271" t="s">
        <v>323</v>
      </c>
      <c r="C151" s="264" t="str">
        <f>VLOOKUP(Table4[[#This Row],[Rīcības kods]],Rīcibas_plans!$B$4:$D$234,3,FALSE)</f>
        <v>Titurgas ezera taka</v>
      </c>
      <c r="D151" s="265" t="str">
        <f>VLOOKUP($A151,'Pivot rīcības un objekti'!$A$4:$U$193,21,FALSE)</f>
        <v xml:space="preserve">Dabas taka ap ezeru. </v>
      </c>
      <c r="E151" s="265">
        <f>VLOOKUP($A151,'Pivot rīcības un objekti'!$A$4:$U$193,E$9,FALSE)</f>
        <v>32</v>
      </c>
      <c r="F151" s="265">
        <f>VLOOKUP($A151,'Pivot rīcības un objekti'!$A$4:$U$193,F$9,FALSE)</f>
        <v>151</v>
      </c>
      <c r="G151" s="265">
        <f>VLOOKUP($A151,'Pivot rīcības un objekti'!$A$4:$U$193,G$9,FALSE)</f>
        <v>86</v>
      </c>
      <c r="H151" s="265">
        <f>VLOOKUP($A151,'Pivot rīcības un objekti'!$A$4:$U$193,H$9,FALSE)</f>
        <v>70</v>
      </c>
      <c r="I151" s="265">
        <f>VLOOKUP($A151,'Pivot rīcības un objekti'!$A$4:$U$192,I$9,FALSE)</f>
        <v>133</v>
      </c>
      <c r="J151" s="265">
        <f>VLOOKUP($A151,'Pivot rīcības un objekti'!$A$4:$U$192,J$9,FALSE)</f>
        <v>105</v>
      </c>
      <c r="K151" s="293">
        <f>VLOOKUP(Table4[[#This Row],[Rīcības kods]],'Pivot rīcības un objekti'!$A$4:$T$233,19,FALSE)</f>
        <v>96.166666666666671</v>
      </c>
      <c r="L151" s="265">
        <f>VLOOKUP(Table4[[#This Row],[Rīcības kods]],'Pivot rīcības un objekti'!$A$4:$F$232,6,FALSE)</f>
        <v>3</v>
      </c>
      <c r="M151" s="266">
        <f>VLOOKUP(Table4[[#This Row],[Rīcības kods]],'Pivot rīcības un objekti'!$A$4:$F$232,2,FALSE)</f>
        <v>72000</v>
      </c>
      <c r="N151" s="266">
        <f>Table4[[#This Row],[Izmaksas, EUR]]+N150</f>
        <v>12790860</v>
      </c>
      <c r="O151" s="268"/>
    </row>
    <row r="152" spans="1:15" ht="45" customHeight="1">
      <c r="A152" s="262" t="s">
        <v>145</v>
      </c>
      <c r="B152" s="271" t="s">
        <v>329</v>
      </c>
      <c r="C152" s="264" t="str">
        <f>VLOOKUP(Table4[[#This Row],[Rīcības kods]],Rīcibas_plans!$B$4:$D$234,3,FALSE)</f>
        <v>Atpūtas vieta pie ūdens pretī Nāvessalai (Ķīķerītis)</v>
      </c>
      <c r="D152" s="265" t="str">
        <f>VLOOKUP($A152,'Pivot rīcības un objekti'!$A$4:$U$193,21,FALSE)</f>
        <v>Pieejamības uzlabošana savienojot to ar citām rekreācijas teritorijām, lietišķās atpūtas vietas labiekārtojuma papildināšana (L tipa), informatīvas zīmes par Nāves salas vēsturisko nozīmi</v>
      </c>
      <c r="E152" s="265">
        <f>VLOOKUP($A152,'Pivot rīcības un objekti'!$A$4:$U$193,E$9,FALSE)</f>
        <v>55</v>
      </c>
      <c r="F152" s="265">
        <f>VLOOKUP($A152,'Pivot rīcības un objekti'!$A$4:$U$193,F$9,FALSE)</f>
        <v>121</v>
      </c>
      <c r="G152" s="265">
        <f>VLOOKUP($A152,'Pivot rīcības un objekti'!$A$4:$U$193,G$9,FALSE)</f>
        <v>39</v>
      </c>
      <c r="H152" s="265">
        <f>VLOOKUP($A152,'Pivot rīcības un objekti'!$A$4:$U$193,H$9,FALSE)</f>
        <v>115</v>
      </c>
      <c r="I152" s="265">
        <f>VLOOKUP($A152,'Pivot rīcības un objekti'!$A$4:$U$192,I$9,FALSE)</f>
        <v>145</v>
      </c>
      <c r="J152" s="265">
        <f>VLOOKUP($A152,'Pivot rīcības un objekti'!$A$4:$U$192,J$9,FALSE)</f>
        <v>104</v>
      </c>
      <c r="K152" s="293">
        <f>VLOOKUP(Table4[[#This Row],[Rīcības kods]],'Pivot rīcības un objekti'!$A$4:$T$233,19,FALSE)</f>
        <v>96.5</v>
      </c>
      <c r="L152" s="265">
        <f>VLOOKUP(Table4[[#This Row],[Rīcības kods]],'Pivot rīcības un objekti'!$A$4:$F$232,6,FALSE)</f>
        <v>3</v>
      </c>
      <c r="M152" s="265">
        <f>VLOOKUP(Table4[[#This Row],[Rīcības kods]],'Pivot rīcības un objekti'!$A$4:$F$232,2,FALSE)</f>
        <v>200000</v>
      </c>
      <c r="N152" s="266">
        <f>Table4[[#This Row],[Izmaksas, EUR]]+N151</f>
        <v>12990860</v>
      </c>
      <c r="O152" s="267"/>
    </row>
    <row r="153" spans="1:15" ht="60.6" customHeight="1">
      <c r="A153" s="262" t="s">
        <v>166</v>
      </c>
      <c r="B153" s="271" t="s">
        <v>324</v>
      </c>
      <c r="C153" s="264" t="str">
        <f>VLOOKUP(Table4[[#This Row],[Rīcības kods]],Rīcibas_plans!$B$4:$D$234,3,FALSE)</f>
        <v>Novadpētniecības muzeja, Doles Tautas nama ēkas apkārtne
Ķekavas parka Z daļa Rīgas iela 26,Skolas iela 2A,</v>
      </c>
      <c r="D153" s="265" t="str">
        <f>VLOOKUP($A153,'Pivot rīcības un objekti'!$A$4:$U$193,21,FALSE)</f>
        <v>Teritorijas papildināšana ar koku stādījumiem pie Novadpētniecības muzeja</v>
      </c>
      <c r="E153" s="265">
        <f>VLOOKUP($A153,'Pivot rīcības un objekti'!$A$4:$U$193,E$9,FALSE)</f>
        <v>32</v>
      </c>
      <c r="F153" s="265">
        <f>VLOOKUP($A153,'Pivot rīcības un objekti'!$A$4:$U$193,F$9,FALSE)</f>
        <v>35</v>
      </c>
      <c r="G153" s="265">
        <f>VLOOKUP($A153,'Pivot rīcības un objekti'!$A$4:$U$193,G$9,FALSE)</f>
        <v>86</v>
      </c>
      <c r="H153" s="265">
        <f>VLOOKUP($A153,'Pivot rīcības un objekti'!$A$4:$U$193,H$9,FALSE)</f>
        <v>142</v>
      </c>
      <c r="I153" s="265">
        <f>VLOOKUP($A153,'Pivot rīcības un objekti'!$A$4:$U$192,I$9,FALSE)</f>
        <v>127</v>
      </c>
      <c r="J153" s="265">
        <f>VLOOKUP($A153,'Pivot rīcības un objekti'!$A$4:$U$192,J$9,FALSE)</f>
        <v>168</v>
      </c>
      <c r="K153" s="293">
        <f>VLOOKUP(Table4[[#This Row],[Rīcības kods]],'Pivot rīcības un objekti'!$A$4:$T$233,19,FALSE)</f>
        <v>98.333333333333329</v>
      </c>
      <c r="L153" s="265">
        <f>VLOOKUP(Table4[[#This Row],[Rīcības kods]],'Pivot rīcības un objekti'!$A$4:$F$232,6,FALSE)</f>
        <v>3</v>
      </c>
      <c r="M153" s="265">
        <f>VLOOKUP(Table4[[#This Row],[Rīcības kods]],'Pivot rīcības un objekti'!$A$4:$F$232,2,FALSE)</f>
        <v>640000</v>
      </c>
      <c r="N153" s="266">
        <f>Table4[[#This Row],[Izmaksas, EUR]]+N152</f>
        <v>13630860</v>
      </c>
      <c r="O153" s="267"/>
    </row>
    <row r="154" spans="1:15" ht="34.9" customHeight="1">
      <c r="A154" s="262" t="s">
        <v>160</v>
      </c>
      <c r="B154" s="271" t="s">
        <v>331</v>
      </c>
      <c r="C154" s="264" t="str">
        <f>VLOOKUP(Table4[[#This Row],[Rīcības kods]],Rīcibas_plans!$B$4:$D$234,3,FALSE)</f>
        <v>Mikromobilitātes punkts Dzērumos (vieta jāprecizē)</v>
      </c>
      <c r="D154" s="265" t="str">
        <f>VLOOKUP($A154,'Pivot rīcības un objekti'!$A$4:$U$193,21,FALSE)</f>
        <v xml:space="preserve">Mikromobilitātes punkta izveide,kas ietver velosipēdu, taksometru, koplietošanas transportlīdzekļu pakalpojumu. </v>
      </c>
      <c r="E154" s="265">
        <f>VLOOKUP($A154,'Pivot rīcības un objekti'!$A$4:$U$193,E$9,FALSE)</f>
        <v>140</v>
      </c>
      <c r="F154" s="265">
        <f>VLOOKUP($A154,'Pivot rīcības un objekti'!$A$4:$U$193,F$9,FALSE)</f>
        <v>87</v>
      </c>
      <c r="G154" s="265">
        <f>VLOOKUP($A154,'Pivot rīcības un objekti'!$A$4:$U$193,G$9,FALSE)</f>
        <v>119</v>
      </c>
      <c r="H154" s="265">
        <f>VLOOKUP($A154,'Pivot rīcības un objekti'!$A$4:$U$193,H$9,FALSE)</f>
        <v>99</v>
      </c>
      <c r="I154" s="265">
        <f>VLOOKUP($A154,'Pivot rīcības un objekti'!$A$4:$U$192,I$9,FALSE)</f>
        <v>70</v>
      </c>
      <c r="J154" s="265">
        <f>VLOOKUP($A154,'Pivot rīcības un objekti'!$A$4:$U$192,J$9,FALSE)</f>
        <v>77</v>
      </c>
      <c r="K154" s="293">
        <f>VLOOKUP(Table4[[#This Row],[Rīcības kods]],'Pivot rīcības un objekti'!$A$4:$T$233,19,FALSE)</f>
        <v>98.666666666666671</v>
      </c>
      <c r="L154" s="265">
        <f>VLOOKUP(Table4[[#This Row],[Rīcības kods]],'Pivot rīcības un objekti'!$A$4:$F$232,6,FALSE)</f>
        <v>3</v>
      </c>
      <c r="M154" s="266">
        <f>VLOOKUP(Table4[[#This Row],[Rīcības kods]],'Pivot rīcības un objekti'!$A$4:$F$232,2,FALSE)</f>
        <v>20000</v>
      </c>
      <c r="N154" s="266">
        <f>Table4[[#This Row],[Izmaksas, EUR]]+N153</f>
        <v>13650860</v>
      </c>
      <c r="O154" s="268"/>
    </row>
    <row r="155" spans="1:15" ht="31.9" customHeight="1">
      <c r="A155" s="262" t="s">
        <v>136</v>
      </c>
      <c r="B155" s="271" t="s">
        <v>329</v>
      </c>
      <c r="C155" s="264" t="str">
        <f>VLOOKUP(Table4[[#This Row],[Rīcības kods]],Rīcibas_plans!$B$4:$D$234,3,FALSE)</f>
        <v>Potenciālas atpūtas vietas  "Dolomīta dīķi" izveide (kad.nr.80560020332)</v>
      </c>
      <c r="D155" s="265" t="str">
        <f>VLOOKUP($A155,'Pivot rīcības un objekti'!$A$4:$U$193,21,FALSE)</f>
        <v>Alternatīva atpūtas vieta pie ūdens ar labas kvalitātes ūdeni, draudzīgākas peldēšanas iespējas bērniem.</v>
      </c>
      <c r="E155" s="265">
        <f>VLOOKUP($A155,'Pivot rīcības un objekti'!$A$4:$U$193,E$9,FALSE)</f>
        <v>140</v>
      </c>
      <c r="F155" s="265">
        <f>VLOOKUP($A155,'Pivot rīcības un objekti'!$A$4:$U$193,F$9,FALSE)</f>
        <v>163</v>
      </c>
      <c r="G155" s="265">
        <f>VLOOKUP($A155,'Pivot rīcības un objekti'!$A$4:$U$193,G$9,FALSE)</f>
        <v>119</v>
      </c>
      <c r="H155" s="265">
        <f>VLOOKUP($A155,'Pivot rīcības un objekti'!$A$4:$U$193,H$9,FALSE)</f>
        <v>58</v>
      </c>
      <c r="I155" s="265">
        <f>VLOOKUP($A155,'Pivot rīcības un objekti'!$A$4:$U$192,I$9,FALSE)</f>
        <v>82</v>
      </c>
      <c r="J155" s="265">
        <f>VLOOKUP($A155,'Pivot rīcības un objekti'!$A$4:$U$192,J$9,FALSE)</f>
        <v>44</v>
      </c>
      <c r="K155" s="293">
        <f>VLOOKUP(Table4[[#This Row],[Rīcības kods]],'Pivot rīcības un objekti'!$A$4:$T$233,19,FALSE)</f>
        <v>101</v>
      </c>
      <c r="L155" s="265">
        <f>VLOOKUP(Table4[[#This Row],[Rīcības kods]],'Pivot rīcības un objekti'!$A$4:$F$232,6,FALSE)</f>
        <v>3</v>
      </c>
      <c r="M155" s="266">
        <f>VLOOKUP(Table4[[#This Row],[Rīcības kods]],'Pivot rīcības un objekti'!$A$4:$F$232,2,FALSE)</f>
        <v>7160</v>
      </c>
      <c r="N155" s="266">
        <f>Table4[[#This Row],[Izmaksas, EUR]]+N154</f>
        <v>13658020</v>
      </c>
      <c r="O155" s="268"/>
    </row>
    <row r="156" spans="1:15" ht="39" customHeight="1">
      <c r="A156" s="262" t="s">
        <v>193</v>
      </c>
      <c r="B156" s="271" t="s">
        <v>345</v>
      </c>
      <c r="C156" s="264" t="str">
        <f>VLOOKUP(Table4[[#This Row],[Rīcības kods]],Rīcibas_plans!$B$4:$D$234,3,FALSE)</f>
        <v xml:space="preserve">Gājēju ietve - Mazā senču iela,  Atmodas iela, </v>
      </c>
      <c r="D156" s="265" t="str">
        <f>VLOOKUP($A156,'Pivot rīcības un objekti'!$A$4:$U$193,21,FALSE)</f>
        <v>Apgaismotas ietves izbūve no Ziemeļu ielas līdz Pliederu ielai. Izvietot lietišķās atpūtas vietas (S tips).</v>
      </c>
      <c r="E156" s="265">
        <f>VLOOKUP($A156,'Pivot rīcības un objekti'!$A$4:$U$193,E$9,FALSE)</f>
        <v>140</v>
      </c>
      <c r="F156" s="265">
        <f>VLOOKUP($A156,'Pivot rīcības un objekti'!$A$4:$U$193,F$9,FALSE)</f>
        <v>130</v>
      </c>
      <c r="G156" s="265">
        <f>VLOOKUP($A156,'Pivot rīcības un objekti'!$A$4:$U$193,G$9,FALSE)</f>
        <v>158</v>
      </c>
      <c r="H156" s="265">
        <f>VLOOKUP($A156,'Pivot rīcības un objekti'!$A$4:$U$193,H$9,FALSE)</f>
        <v>71</v>
      </c>
      <c r="I156" s="265">
        <f>VLOOKUP($A156,'Pivot rīcības un objekti'!$A$4:$U$192,I$9,FALSE)</f>
        <v>72</v>
      </c>
      <c r="J156" s="265">
        <f>VLOOKUP($A156,'Pivot rīcības un objekti'!$A$4:$U$192,J$9,FALSE)</f>
        <v>93</v>
      </c>
      <c r="K156" s="293">
        <f>VLOOKUP(Table4[[#This Row],[Rīcības kods]],'Pivot rīcības un objekti'!$A$4:$T$233,19,FALSE)</f>
        <v>110.66666666666667</v>
      </c>
      <c r="L156" s="265">
        <f>VLOOKUP(Table4[[#This Row],[Rīcības kods]],'Pivot rīcības un objekti'!$A$4:$F$232,6,FALSE)</f>
        <v>3</v>
      </c>
      <c r="M156" s="265">
        <f>VLOOKUP(Table4[[#This Row],[Rīcības kods]],'Pivot rīcības un objekti'!$A$4:$F$232,2,FALSE)</f>
        <v>11060</v>
      </c>
      <c r="N156" s="266">
        <f>Table4[[#This Row],[Izmaksas, EUR]]+N155</f>
        <v>13669080</v>
      </c>
      <c r="O156" s="268"/>
    </row>
    <row r="157" spans="1:15" ht="50.45" customHeight="1">
      <c r="A157" s="262" t="s">
        <v>104</v>
      </c>
      <c r="B157" s="271" t="s">
        <v>340</v>
      </c>
      <c r="C157" s="264" t="str">
        <f>VLOOKUP(Table4[[#This Row],[Rīcības kods]],Rīcibas_plans!$B$4:$D$234,3,FALSE)</f>
        <v>Gājēju ceļš - V9 (Iecava - Baldone - Daugmale) no Baldones esošā gājēju ceļa līdz Mercendarbei</v>
      </c>
      <c r="D157" s="265" t="str">
        <f>VLOOKUP($A157,'Pivot rīcības un objekti'!$A$4:$U$193,21,FALSE)</f>
        <v>Apvienotais gājēju - velo ceļš, Apgaismojums, 2 lietišķās atpūtas vietas.</v>
      </c>
      <c r="E157" s="265">
        <f>VLOOKUP($A157,'Pivot rīcības un objekti'!$A$4:$U$193,E$9,FALSE)</f>
        <v>76</v>
      </c>
      <c r="F157" s="265">
        <f>VLOOKUP($A157,'Pivot rīcības un objekti'!$A$4:$U$193,F$9,FALSE)</f>
        <v>121</v>
      </c>
      <c r="G157" s="265">
        <f>VLOOKUP($A157,'Pivot rīcības un objekti'!$A$4:$U$193,G$9,FALSE)</f>
        <v>92</v>
      </c>
      <c r="H157" s="265">
        <f>VLOOKUP($A157,'Pivot rīcības un objekti'!$A$4:$U$193,H$9,FALSE)</f>
        <v>121</v>
      </c>
      <c r="I157" s="265">
        <f>VLOOKUP($A157,'Pivot rīcības un objekti'!$A$4:$U$192,I$9,FALSE)</f>
        <v>134</v>
      </c>
      <c r="J157" s="265">
        <f>VLOOKUP($A157,'Pivot rīcības un objekti'!$A$4:$U$192,J$9,FALSE)</f>
        <v>122</v>
      </c>
      <c r="K157" s="293">
        <f>VLOOKUP(Table4[[#This Row],[Rīcības kods]],'Pivot rīcības un objekti'!$A$4:$T$233,19,FALSE)</f>
        <v>111</v>
      </c>
      <c r="L157" s="265">
        <f>VLOOKUP(Table4[[#This Row],[Rīcības kods]],'Pivot rīcības un objekti'!$A$4:$F$232,6,FALSE)</f>
        <v>3</v>
      </c>
      <c r="M157" s="265">
        <f>VLOOKUP(Table4[[#This Row],[Rīcības kods]],'Pivot rīcības un objekti'!$A$4:$F$232,2,FALSE)</f>
        <v>147000</v>
      </c>
      <c r="N157" s="266">
        <f>Table4[[#This Row],[Izmaksas, EUR]]+N156</f>
        <v>13816080</v>
      </c>
      <c r="O157" s="268"/>
    </row>
    <row r="158" spans="1:15" ht="28.15">
      <c r="A158" s="262" t="s">
        <v>234</v>
      </c>
      <c r="B158" s="271" t="s">
        <v>324</v>
      </c>
      <c r="C158" s="264" t="str">
        <f>VLOOKUP(Table4[[#This Row],[Rīcības kods]],Rīcibas_plans!$B$4:$D$234,3,FALSE)</f>
        <v>Ķekavas upes ieteka, Ķekavas parks, Rīgas iela 71A,</v>
      </c>
      <c r="D158" s="265" t="str">
        <f>VLOOKUP($A158,'Pivot rīcības un objekti'!$A$4:$U$193,21,FALSE)</f>
        <v>Laivu nolaišanas vietas izbūve</v>
      </c>
      <c r="E158" s="265">
        <f>VLOOKUP($A158,'Pivot rīcības un objekti'!$A$4:$U$193,E$9,FALSE)</f>
        <v>149</v>
      </c>
      <c r="F158" s="265">
        <f>VLOOKUP($A158,'Pivot rīcības un objekti'!$A$4:$U$193,F$9,FALSE)</f>
        <v>151</v>
      </c>
      <c r="G158" s="265">
        <f>VLOOKUP($A158,'Pivot rīcības un objekti'!$A$4:$U$193,G$9,FALSE)</f>
        <v>127</v>
      </c>
      <c r="H158" s="265">
        <f>VLOOKUP($A158,'Pivot rīcības un objekti'!$A$4:$U$193,H$9,FALSE)</f>
        <v>95</v>
      </c>
      <c r="I158" s="265">
        <f>VLOOKUP($A158,'Pivot rīcības un objekti'!$A$4:$U$192,I$9,FALSE)</f>
        <v>90</v>
      </c>
      <c r="J158" s="265">
        <f>VLOOKUP($A158,'Pivot rīcības un objekti'!$A$4:$U$192,J$9,FALSE)</f>
        <v>73</v>
      </c>
      <c r="K158" s="293">
        <f>VLOOKUP(Table4[[#This Row],[Rīcības kods]],'Pivot rīcības un objekti'!$A$4:$T$233,19,FALSE)</f>
        <v>114.16666666666667</v>
      </c>
      <c r="L158" s="265">
        <f>VLOOKUP(Table4[[#This Row],[Rīcības kods]],'Pivot rīcības un objekti'!$A$4:$F$232,6,FALSE)</f>
        <v>3</v>
      </c>
      <c r="M158" s="265">
        <f>VLOOKUP(Table4[[#This Row],[Rīcības kods]],'Pivot rīcības un objekti'!$A$4:$F$232,2,FALSE)</f>
        <v>15000</v>
      </c>
      <c r="N158" s="266">
        <f>Table4[[#This Row],[Izmaksas, EUR]]+N157</f>
        <v>13831080</v>
      </c>
      <c r="O158" s="267"/>
    </row>
    <row r="159" spans="1:15" ht="27.6" customHeight="1">
      <c r="A159" s="262" t="s">
        <v>81</v>
      </c>
      <c r="B159" s="271" t="s">
        <v>293</v>
      </c>
      <c r="C159" s="264" t="str">
        <f>VLOOKUP(Table4[[#This Row],[Rīcības kods]],Rīcibas_plans!$B$4:$D$234,3,FALSE)</f>
        <v>Jakaru iela - Gaismas iela</v>
      </c>
      <c r="D159" s="265" t="str">
        <f>VLOOKUP($A159,'Pivot rīcības un objekti'!$A$4:$U$193,21,FALSE)</f>
        <v>Apgaismota gājēju ceļa izbūve līdz skolai</v>
      </c>
      <c r="E159" s="265">
        <f>VLOOKUP($A159,'Pivot rīcības un objekti'!$A$4:$U$193,E$9,FALSE)</f>
        <v>149</v>
      </c>
      <c r="F159" s="265">
        <f>VLOOKUP($A159,'Pivot rīcības un objekti'!$A$4:$U$193,F$9,FALSE)</f>
        <v>95</v>
      </c>
      <c r="G159" s="265">
        <f>VLOOKUP($A159,'Pivot rīcības un objekti'!$A$4:$U$193,G$9,FALSE)</f>
        <v>135</v>
      </c>
      <c r="H159" s="265">
        <f>VLOOKUP($A159,'Pivot rīcības un objekti'!$A$4:$U$193,H$9,FALSE)</f>
        <v>113</v>
      </c>
      <c r="I159" s="265">
        <f>VLOOKUP($A159,'Pivot rīcības un objekti'!$A$4:$U$192,I$9,FALSE)</f>
        <v>91</v>
      </c>
      <c r="J159" s="265">
        <f>VLOOKUP($A159,'Pivot rīcības un objekti'!$A$4:$U$192,J$9,FALSE)</f>
        <v>109</v>
      </c>
      <c r="K159" s="293">
        <f>VLOOKUP(Table4[[#This Row],[Rīcības kods]],'Pivot rīcības un objekti'!$A$4:$T$233,19,FALSE)</f>
        <v>115.33333333333333</v>
      </c>
      <c r="L159" s="265">
        <f>VLOOKUP(Table4[[#This Row],[Rīcības kods]],'Pivot rīcības un objekti'!$A$4:$F$232,6,FALSE)</f>
        <v>3</v>
      </c>
      <c r="M159" s="265">
        <f>VLOOKUP(Table4[[#This Row],[Rīcības kods]],'Pivot rīcības un objekti'!$A$4:$F$232,2,FALSE)</f>
        <v>37800</v>
      </c>
      <c r="N159" s="266">
        <f>Table4[[#This Row],[Izmaksas, EUR]]+N158</f>
        <v>13868880</v>
      </c>
      <c r="O159" s="268"/>
    </row>
    <row r="160" spans="1:15" ht="42">
      <c r="A160" s="262" t="s">
        <v>222</v>
      </c>
      <c r="B160" s="271" t="s">
        <v>324</v>
      </c>
      <c r="C160" s="264" t="str">
        <f>VLOOKUP(Table4[[#This Row],[Rīcības kods]],Rīcibas_plans!$B$4:$D$234,3,FALSE)</f>
        <v>Stāvlaukums un gājēju ietve (Dārznieku iela 3A un Dārznieku iela 3B</v>
      </c>
      <c r="D160" s="265" t="str">
        <f>VLOOKUP($A160,'Pivot rīcības un objekti'!$A$4:$U$193,21,FALSE)</f>
        <v xml:space="preserve"> Laivotāju piekļuve, piebraukšana. </v>
      </c>
      <c r="E160" s="265">
        <f>VLOOKUP($A160,'Pivot rīcības un objekti'!$A$4:$U$193,E$9,FALSE)</f>
        <v>93</v>
      </c>
      <c r="F160" s="265">
        <f>VLOOKUP($A160,'Pivot rīcības un objekti'!$A$4:$U$193,F$9,FALSE)</f>
        <v>165</v>
      </c>
      <c r="G160" s="265">
        <f>VLOOKUP($A160,'Pivot rīcības un objekti'!$A$4:$U$193,G$9,FALSE)</f>
        <v>172</v>
      </c>
      <c r="H160" s="265">
        <f>VLOOKUP($A160,'Pivot rīcības un objekti'!$A$4:$U$193,H$9,FALSE)</f>
        <v>64</v>
      </c>
      <c r="I160" s="265">
        <f>VLOOKUP($A160,'Pivot rīcības un objekti'!$A$4:$U$192,I$9,FALSE)</f>
        <v>107</v>
      </c>
      <c r="J160" s="265">
        <f>VLOOKUP($A160,'Pivot rīcības un objekti'!$A$4:$U$192,J$9,FALSE)</f>
        <v>108</v>
      </c>
      <c r="K160" s="293">
        <f>VLOOKUP(Table4[[#This Row],[Rīcības kods]],'Pivot rīcības un objekti'!$A$4:$T$233,19,FALSE)</f>
        <v>118.16666666666667</v>
      </c>
      <c r="L160" s="265">
        <f>VLOOKUP(Table4[[#This Row],[Rīcības kods]],'Pivot rīcības un objekti'!$A$4:$F$232,6,FALSE)</f>
        <v>3</v>
      </c>
      <c r="M160" s="265">
        <f>VLOOKUP(Table4[[#This Row],[Rīcības kods]],'Pivot rīcības un objekti'!$A$4:$F$232,2,FALSE)</f>
        <v>15000</v>
      </c>
      <c r="N160" s="266">
        <f>Table4[[#This Row],[Izmaksas, EUR]]+N159</f>
        <v>13883880</v>
      </c>
      <c r="O160" s="268"/>
    </row>
    <row r="161" spans="1:15" ht="36.6" customHeight="1">
      <c r="A161" s="262" t="s">
        <v>50</v>
      </c>
      <c r="B161" s="271" t="s">
        <v>323</v>
      </c>
      <c r="C161" s="264" t="str">
        <f>VLOOKUP(Table4[[#This Row],[Rīcības kods]],Rīcibas_plans!$B$4:$D$234,3,FALSE)</f>
        <v>Titurgas ielas gājēju un velosipēdistu infrastruktūra</v>
      </c>
      <c r="D161" s="265" t="str">
        <f>VLOOKUP($A161,'Pivot rīcības un objekti'!$A$4:$U$193,21,FALSE)</f>
        <v>Apgaismotas ietves izbūve no Saulgriežu ielas līdz Ezera ielai. Lietišķās atpūtas vietu izvietošana(S tips)</v>
      </c>
      <c r="E161" s="265">
        <f>VLOOKUP($A161,'Pivot rīcības un objekti'!$A$4:$U$193,E$9,FALSE)</f>
        <v>93</v>
      </c>
      <c r="F161" s="265">
        <f>VLOOKUP($A161,'Pivot rīcības un objekti'!$A$4:$U$193,F$9,FALSE)</f>
        <v>95</v>
      </c>
      <c r="G161" s="265">
        <f>VLOOKUP($A161,'Pivot rīcības un objekti'!$A$4:$U$193,G$9,FALSE)</f>
        <v>107</v>
      </c>
      <c r="H161" s="265">
        <f>VLOOKUP($A161,'Pivot rīcības un objekti'!$A$4:$U$193,H$9,FALSE)</f>
        <v>157</v>
      </c>
      <c r="I161" s="265">
        <f>VLOOKUP($A161,'Pivot rīcības un objekti'!$A$4:$U$192,I$9,FALSE)</f>
        <v>150</v>
      </c>
      <c r="J161" s="265">
        <f>VLOOKUP($A161,'Pivot rīcības un objekti'!$A$4:$U$192,J$9,FALSE)</f>
        <v>156</v>
      </c>
      <c r="K161" s="293">
        <f>VLOOKUP(Table4[[#This Row],[Rīcības kods]],'Pivot rīcības un objekti'!$A$4:$T$233,19,FALSE)</f>
        <v>126.33333333333333</v>
      </c>
      <c r="L161" s="265">
        <f>VLOOKUP(Table4[[#This Row],[Rīcības kods]],'Pivot rīcības un objekti'!$A$4:$F$232,6,FALSE)</f>
        <v>3</v>
      </c>
      <c r="M161" s="265">
        <f>VLOOKUP(Table4[[#This Row],[Rīcības kods]],'Pivot rīcības un objekti'!$A$4:$F$232,2,FALSE)</f>
        <v>302500</v>
      </c>
      <c r="N161" s="266">
        <f>Table4[[#This Row],[Izmaksas, EUR]]+N160</f>
        <v>14186380</v>
      </c>
      <c r="O161" s="268"/>
    </row>
    <row r="162" spans="1:15" ht="35.450000000000003" customHeight="1">
      <c r="A162" s="262" t="s">
        <v>192</v>
      </c>
      <c r="B162" s="271" t="s">
        <v>345</v>
      </c>
      <c r="C162" s="264" t="str">
        <f>VLOOKUP(Table4[[#This Row],[Rīcības kods]],Rīcibas_plans!$B$4:$D$234,3,FALSE)</f>
        <v xml:space="preserve">Gājēju ietve - Mazā senču iela,  Atmodas iela, </v>
      </c>
      <c r="D162" s="265" t="str">
        <f>VLOOKUP($A162,'Pivot rīcības un objekti'!$A$4:$U$193,21,FALSE)</f>
        <v>Apgaismotas ietves izbūve no Ziemeļu ielas līdz Pliederu ielai. Izvietot lietišķās atpūtas vietas (S tips).</v>
      </c>
      <c r="E162" s="265">
        <f>VLOOKUP($A162,'Pivot rīcības un objekti'!$A$4:$U$193,E$9,FALSE)</f>
        <v>140</v>
      </c>
      <c r="F162" s="265">
        <f>VLOOKUP($A162,'Pivot rīcības un objekti'!$A$4:$U$193,F$9,FALSE)</f>
        <v>72</v>
      </c>
      <c r="G162" s="265">
        <f>VLOOKUP($A162,'Pivot rīcības un objekti'!$A$4:$U$193,G$9,FALSE)</f>
        <v>76</v>
      </c>
      <c r="H162" s="265">
        <f>VLOOKUP($A162,'Pivot rīcības un objekti'!$A$4:$U$193,H$9,FALSE)</f>
        <v>185</v>
      </c>
      <c r="I162" s="265">
        <f>VLOOKUP($A162,'Pivot rīcības un objekti'!$A$4:$U$192,I$9,FALSE)</f>
        <v>158</v>
      </c>
      <c r="J162" s="265">
        <f>VLOOKUP($A162,'Pivot rīcības un objekti'!$A$4:$U$192,J$9,FALSE)</f>
        <v>171</v>
      </c>
      <c r="K162" s="293">
        <f>VLOOKUP(Table4[[#This Row],[Rīcības kods]],'Pivot rīcības un objekti'!$A$4:$T$233,19,FALSE)</f>
        <v>133.66666666666666</v>
      </c>
      <c r="L162" s="265">
        <f>VLOOKUP(Table4[[#This Row],[Rīcības kods]],'Pivot rīcības un objekti'!$A$4:$F$232,6,FALSE)</f>
        <v>3</v>
      </c>
      <c r="M162" s="265">
        <f>VLOOKUP(Table4[[#This Row],[Rīcības kods]],'Pivot rīcības un objekti'!$A$4:$F$232,2,FALSE)</f>
        <v>814000</v>
      </c>
      <c r="N162" s="266">
        <f>Table4[[#This Row],[Izmaksas, EUR]]+N161</f>
        <v>15000380</v>
      </c>
      <c r="O162" s="268"/>
    </row>
    <row r="163" spans="1:15" ht="39.6" customHeight="1">
      <c r="A163" s="262" t="s">
        <v>118</v>
      </c>
      <c r="B163" s="271" t="s">
        <v>293</v>
      </c>
      <c r="C163" s="264" t="str">
        <f>VLOOKUP(Table4[[#This Row],[Rīcības kods]],Rīcibas_plans!$B$4:$D$234,3,FALSE)</f>
        <v>Dabas teritorija pie Baldones dīķa "Saliņas"</v>
      </c>
      <c r="D163" s="265" t="str">
        <f>VLOOKUP($A163,'Pivot rīcības un objekti'!$A$4:$U$193,21,FALSE)</f>
        <v>Potenciāla pastaigu taka līdz Baldones zīmei. Potenciāls parks ar lietišķās atpūtas vietām, bērnu rotaļu laukumu.</v>
      </c>
      <c r="E163" s="265">
        <f>VLOOKUP($A163,'Pivot rīcības un objekti'!$A$4:$U$193,E$9,FALSE)</f>
        <v>64</v>
      </c>
      <c r="F163" s="265">
        <f>VLOOKUP($A163,'Pivot rīcības un objekti'!$A$4:$U$193,F$9,FALSE)</f>
        <v>116</v>
      </c>
      <c r="G163" s="265">
        <f>VLOOKUP($A163,'Pivot rīcības un objekti'!$A$4:$U$193,G$9,FALSE)</f>
        <v>119</v>
      </c>
      <c r="H163" s="265">
        <f>VLOOKUP($A163,'Pivot rīcības un objekti'!$A$4:$U$193,H$9,FALSE)</f>
        <v>162</v>
      </c>
      <c r="I163" s="265">
        <f>VLOOKUP($A163,'Pivot rīcības un objekti'!$A$4:$U$192,I$9,FALSE)</f>
        <v>171</v>
      </c>
      <c r="J163" s="265">
        <f>VLOOKUP($A163,'Pivot rīcības un objekti'!$A$4:$U$192,J$9,FALSE)</f>
        <v>177</v>
      </c>
      <c r="K163" s="293">
        <f>VLOOKUP(Table4[[#This Row],[Rīcības kods]],'Pivot rīcības un objekti'!$A$4:$T$233,19,FALSE)</f>
        <v>134.83333333333334</v>
      </c>
      <c r="L163" s="265">
        <f>VLOOKUP(Table4[[#This Row],[Rīcības kods]],'Pivot rīcības un objekti'!$A$4:$F$232,6,FALSE)</f>
        <v>3</v>
      </c>
      <c r="M163" s="265">
        <f>VLOOKUP(Table4[[#This Row],[Rīcības kods]],'Pivot rīcības un objekti'!$A$4:$F$232,2,FALSE)</f>
        <v>750000</v>
      </c>
      <c r="N163" s="266">
        <f>Table4[[#This Row],[Izmaksas, EUR]]+N162</f>
        <v>15750380</v>
      </c>
      <c r="O163" s="268"/>
    </row>
    <row r="164" spans="1:15" ht="22.15" customHeight="1">
      <c r="A164" s="262" t="s">
        <v>82</v>
      </c>
      <c r="B164" s="271" t="s">
        <v>293</v>
      </c>
      <c r="C164" s="264" t="str">
        <f>VLOOKUP(Table4[[#This Row],[Rīcības kods]],Rīcibas_plans!$B$4:$D$234,3,FALSE)</f>
        <v>Ciņu iela - Dzirnavu iela</v>
      </c>
      <c r="D164" s="265" t="str">
        <f>VLOOKUP($A164,'Pivot rīcības un objekti'!$A$4:$U$193,21,FALSE)</f>
        <v>Apgaismota gājēju ceļa izbūve. Tiltiņa atjaunošana</v>
      </c>
      <c r="E164" s="265">
        <f>VLOOKUP($A164,'Pivot rīcības un objekti'!$A$4:$U$193,E$9,FALSE)</f>
        <v>178</v>
      </c>
      <c r="F164" s="265">
        <f>VLOOKUP($A164,'Pivot rīcības un objekti'!$A$4:$U$193,F$9,FALSE)</f>
        <v>155</v>
      </c>
      <c r="G164" s="265">
        <f>VLOOKUP($A164,'Pivot rīcības un objekti'!$A$4:$U$193,G$9,FALSE)</f>
        <v>187</v>
      </c>
      <c r="H164" s="265">
        <f>VLOOKUP($A164,'Pivot rīcības un objekti'!$A$4:$U$193,H$9,FALSE)</f>
        <v>118</v>
      </c>
      <c r="I164" s="265">
        <f>VLOOKUP($A164,'Pivot rīcības un objekti'!$A$4:$U$192,I$9,FALSE)</f>
        <v>112</v>
      </c>
      <c r="J164" s="265">
        <f>VLOOKUP($A164,'Pivot rīcības un objekti'!$A$4:$U$192,J$9,FALSE)</f>
        <v>143</v>
      </c>
      <c r="K164" s="293">
        <f>VLOOKUP(Table4[[#This Row],[Rīcības kods]],'Pivot rīcības un objekti'!$A$4:$T$233,19,FALSE)</f>
        <v>148.83333333333334</v>
      </c>
      <c r="L164" s="265">
        <f>VLOOKUP(Table4[[#This Row],[Rīcības kods]],'Pivot rīcības un objekti'!$A$4:$F$232,6,FALSE)</f>
        <v>3</v>
      </c>
      <c r="M164" s="265">
        <f>VLOOKUP(Table4[[#This Row],[Rīcības kods]],'Pivot rīcības un objekti'!$A$4:$F$232,2,FALSE)</f>
        <v>27300</v>
      </c>
      <c r="N164" s="266">
        <f>Table4[[#This Row],[Izmaksas, EUR]]+N163</f>
        <v>15777680</v>
      </c>
      <c r="O164" s="268"/>
    </row>
    <row r="165" spans="1:15" ht="26.45" customHeight="1">
      <c r="A165" s="262" t="s">
        <v>217</v>
      </c>
      <c r="B165" s="271" t="s">
        <v>324</v>
      </c>
      <c r="C165" s="264" t="str">
        <f>VLOOKUP(Table4[[#This Row],[Rīcības kods]],Rīcibas_plans!$B$4:$D$234,3,FALSE)</f>
        <v>Laivošanas maršruts pa Ķekavas upi</v>
      </c>
      <c r="D165" s="265" t="str">
        <f>VLOOKUP($A165,'Pivot rīcības un objekti'!$A$4:$U$193,21,FALSE)</f>
        <v>Laivošanas maršruta izveide. Tīrīšana un uzturēšana</v>
      </c>
      <c r="E165" s="265">
        <f>VLOOKUP($A165,'Pivot rīcības un objekti'!$A$4:$U$193,E$9,FALSE)</f>
        <v>93</v>
      </c>
      <c r="F165" s="265">
        <f>VLOOKUP($A165,'Pivot rīcības un objekti'!$A$4:$U$193,F$9,FALSE)</f>
        <v>189</v>
      </c>
      <c r="G165" s="265">
        <f>VLOOKUP($A165,'Pivot rīcības un objekti'!$A$4:$U$193,G$9,FALSE)</f>
        <v>127</v>
      </c>
      <c r="H165" s="265">
        <f>VLOOKUP($A165,'Pivot rīcības un objekti'!$A$4:$U$193,H$9,FALSE)</f>
        <v>149</v>
      </c>
      <c r="I165" s="265">
        <f>VLOOKUP($A165,'Pivot rīcības un objekti'!$A$4:$U$192,I$9,FALSE)</f>
        <v>183</v>
      </c>
      <c r="J165" s="265">
        <f>VLOOKUP($A165,'Pivot rīcības un objekti'!$A$4:$U$192,J$9,FALSE)</f>
        <v>155</v>
      </c>
      <c r="K165" s="293">
        <f>VLOOKUP(Table4[[#This Row],[Rīcības kods]],'Pivot rīcības un objekti'!$A$4:$T$233,19,FALSE)</f>
        <v>149.33333333333334</v>
      </c>
      <c r="L165" s="265">
        <f>VLOOKUP(Table4[[#This Row],[Rīcības kods]],'Pivot rīcības un objekti'!$A$4:$F$232,6,FALSE)</f>
        <v>3</v>
      </c>
      <c r="M165" s="265">
        <f>VLOOKUP(Table4[[#This Row],[Rīcības kods]],'Pivot rīcības un objekti'!$A$4:$F$232,2,FALSE)</f>
        <v>230000</v>
      </c>
      <c r="N165" s="266">
        <f>Table4[[#This Row],[Izmaksas, EUR]]+N164</f>
        <v>16007680</v>
      </c>
      <c r="O165" s="268"/>
    </row>
    <row r="166" spans="1:15" ht="41.45" customHeight="1">
      <c r="A166" s="262" t="s">
        <v>77</v>
      </c>
      <c r="B166" s="271" t="s">
        <v>323</v>
      </c>
      <c r="C166" s="264" t="str">
        <f>VLOOKUP(Table4[[#This Row],[Rīcības kods]],Rīcibas_plans!$B$4:$D$234,3,FALSE)</f>
        <v>Mežaparka, kāpas zona starp Purva un Kalnu ielām</v>
      </c>
      <c r="D166" s="265" t="str">
        <f>VLOOKUP($A166,'Pivot rīcības un objekti'!$A$4:$U$193,21,FALSE)</f>
        <v>Ceļu tīkls, atpūtas vietas, bērnu ziemas aktivitāšu vieta (šļūkšanas kalniņš). Uzlabot šļūkšanas trases kvalitāti.</v>
      </c>
      <c r="E166" s="265">
        <f>VLOOKUP($A166,'Pivot rīcības un objekti'!$A$4:$U$193,E$9,FALSE)</f>
        <v>149</v>
      </c>
      <c r="F166" s="265">
        <f>VLOOKUP($A166,'Pivot rīcības un objekti'!$A$4:$U$193,F$9,FALSE)</f>
        <v>196</v>
      </c>
      <c r="G166" s="265">
        <f>VLOOKUP($A166,'Pivot rīcības un objekti'!$A$4:$U$193,G$9,FALSE)</f>
        <v>163</v>
      </c>
      <c r="H166" s="265">
        <f>VLOOKUP($A166,'Pivot rīcības un objekti'!$A$4:$U$193,H$9,FALSE)</f>
        <v>117</v>
      </c>
      <c r="I166" s="265">
        <f>VLOOKUP($A166,'Pivot rīcības un objekti'!$A$4:$U$192,I$9,FALSE)</f>
        <v>169</v>
      </c>
      <c r="J166" s="265">
        <f>VLOOKUP($A166,'Pivot rīcības un objekti'!$A$4:$U$192,J$9,FALSE)</f>
        <v>138</v>
      </c>
      <c r="K166" s="293">
        <f>VLOOKUP(Table4[[#This Row],[Rīcības kods]],'Pivot rīcības un objekti'!$A$4:$T$233,19,FALSE)</f>
        <v>155.33333333333334</v>
      </c>
      <c r="L166" s="265">
        <f>VLOOKUP(Table4[[#This Row],[Rīcības kods]],'Pivot rīcības un objekti'!$A$4:$F$232,6,FALSE)</f>
        <v>3</v>
      </c>
      <c r="M166" s="265">
        <f>VLOOKUP(Table4[[#This Row],[Rīcības kods]],'Pivot rīcības un objekti'!$A$4:$F$232,2,FALSE)</f>
        <v>42000</v>
      </c>
      <c r="N166" s="266">
        <f>Table4[[#This Row],[Izmaksas, EUR]]+N165</f>
        <v>16049680</v>
      </c>
      <c r="O166" s="268"/>
    </row>
    <row r="167" spans="1:15" ht="37.9" customHeight="1">
      <c r="A167" s="262" t="s">
        <v>92</v>
      </c>
      <c r="B167" s="271" t="s">
        <v>339</v>
      </c>
      <c r="C167" s="264" t="str">
        <f>VLOOKUP(Table4[[#This Row],[Rīcības kods]],Rīcibas_plans!$B$4:$D$234,3,FALSE)</f>
        <v>Mercendarbes ceļš (liepu aleja)</v>
      </c>
      <c r="D167" s="265" t="str">
        <f>VLOOKUP($A167,'Pivot rīcības un objekti'!$A$4:$U$193,21,FALSE)</f>
        <v>Seguma atjaunošana ar kokiem draudzīgām metodēm. Paredzēt iebrauktuves uz zemes vienībām</v>
      </c>
      <c r="E167" s="265">
        <f>VLOOKUP($A167,'Pivot rīcības un objekti'!$A$4:$U$193,E$9,FALSE)</f>
        <v>93</v>
      </c>
      <c r="F167" s="265">
        <f>VLOOKUP($A167,'Pivot rīcības un objekti'!$A$4:$U$193,F$9,FALSE)</f>
        <v>196</v>
      </c>
      <c r="G167" s="265">
        <f>VLOOKUP($A167,'Pivot rīcības un objekti'!$A$4:$U$193,G$9,FALSE)</f>
        <v>223</v>
      </c>
      <c r="H167" s="265">
        <f>VLOOKUP($A167,'Pivot rīcības un objekti'!$A$4:$U$193,H$9,FALSE)</f>
        <v>81</v>
      </c>
      <c r="I167" s="265">
        <f>VLOOKUP($A167,'Pivot rīcības un objekti'!$A$4:$U$192,I$9,FALSE)</f>
        <v>157</v>
      </c>
      <c r="J167" s="265">
        <f>VLOOKUP($A167,'Pivot rīcības un objekti'!$A$4:$U$192,J$9,FALSE)</f>
        <v>187</v>
      </c>
      <c r="K167" s="293">
        <f>VLOOKUP(Table4[[#This Row],[Rīcības kods]],'Pivot rīcības un objekti'!$A$4:$T$233,19,FALSE)</f>
        <v>156.16666666666666</v>
      </c>
      <c r="L167" s="265">
        <f>VLOOKUP(Table4[[#This Row],[Rīcības kods]],'Pivot rīcības un objekti'!$A$4:$F$232,6,FALSE)</f>
        <v>3</v>
      </c>
      <c r="M167" s="265">
        <f>VLOOKUP(Table4[[#This Row],[Rīcības kods]],'Pivot rīcības un objekti'!$A$4:$F$232,2,FALSE)</f>
        <v>22500</v>
      </c>
      <c r="N167" s="266">
        <f>Table4[[#This Row],[Izmaksas, EUR]]+N166</f>
        <v>16072180</v>
      </c>
      <c r="O167" s="267"/>
    </row>
    <row r="168" spans="1:15" ht="32.450000000000003" customHeight="1">
      <c r="A168" s="262" t="s">
        <v>68</v>
      </c>
      <c r="B168" s="271" t="s">
        <v>323</v>
      </c>
      <c r="C168" s="264" t="str">
        <f>VLOOKUP(Table4[[#This Row],[Rīcības kods]],Rīcibas_plans!$B$4:$D$234,3,FALSE)</f>
        <v>Atpūtas vieta pie ūdens pie Titurgas ezera  Ezera ielā</v>
      </c>
      <c r="D168" s="265" t="str">
        <f>VLOOKUP($A168,'Pivot rīcības un objekti'!$A$4:$U$193,21,FALSE)</f>
        <v>Laivu nolaišanas vietas izbūve un SUP vietas izbūve Titurgas ezera atpūtas vietā pie ūdens</v>
      </c>
      <c r="E168" s="265">
        <f>VLOOKUP($A168,'Pivot rīcības un objekti'!$A$4:$U$193,E$9,FALSE)</f>
        <v>178</v>
      </c>
      <c r="F168" s="265">
        <f>VLOOKUP($A168,'Pivot rīcības un objekti'!$A$4:$U$193,F$9,FALSE)</f>
        <v>194</v>
      </c>
      <c r="G168" s="265">
        <f>VLOOKUP($A168,'Pivot rīcības un objekti'!$A$4:$U$193,G$9,FALSE)</f>
        <v>194</v>
      </c>
      <c r="H168" s="265">
        <f>VLOOKUP($A168,'Pivot rīcības un objekti'!$A$4:$U$193,H$9,FALSE)</f>
        <v>105</v>
      </c>
      <c r="I168" s="265">
        <f>VLOOKUP($A168,'Pivot rīcības un objekti'!$A$4:$U$192,I$9,FALSE)</f>
        <v>140</v>
      </c>
      <c r="J168" s="265">
        <f>VLOOKUP($A168,'Pivot rīcības un objekti'!$A$4:$U$192,J$9,FALSE)</f>
        <v>132</v>
      </c>
      <c r="K168" s="293">
        <f>VLOOKUP(Table4[[#This Row],[Rīcības kods]],'Pivot rīcības un objekti'!$A$4:$T$233,19,FALSE)</f>
        <v>157.16666666666666</v>
      </c>
      <c r="L168" s="265">
        <f>VLOOKUP(Table4[[#This Row],[Rīcības kods]],'Pivot rīcības un objekti'!$A$4:$F$232,6,FALSE)</f>
        <v>3</v>
      </c>
      <c r="M168" s="266">
        <f>VLOOKUP(Table4[[#This Row],[Rīcības kods]],'Pivot rīcības un objekti'!$A$4:$F$232,2,FALSE)</f>
        <v>15000</v>
      </c>
      <c r="N168" s="266">
        <f>Table4[[#This Row],[Izmaksas, EUR]]+N167</f>
        <v>16087180</v>
      </c>
      <c r="O168" s="268"/>
    </row>
    <row r="169" spans="1:15" ht="55.9">
      <c r="A169" s="262" t="s">
        <v>138</v>
      </c>
      <c r="B169" s="271" t="s">
        <v>329</v>
      </c>
      <c r="C169" s="264" t="str">
        <f>VLOOKUP(Table4[[#This Row],[Rīcības kods]],Rīcibas_plans!$B$4:$D$234,3,FALSE)</f>
        <v>Bērnu sportisko aktivitāšu laukums (piemēram Pumptrack)  pie Daugmales multifunkcionālā centra (kad.Nr. 80560020583)</v>
      </c>
      <c r="D169" s="265" t="str">
        <f>VLOOKUP($A169,'Pivot rīcības un objekti'!$A$4:$U$193,21,FALSE)</f>
        <v>Jauniešu sportisko aktivitāšu laukuma izveide</v>
      </c>
      <c r="E169" s="265">
        <f>VLOOKUP($A169,'Pivot rīcības un objekti'!$A$4:$U$193,E$9,FALSE)</f>
        <v>202</v>
      </c>
      <c r="F169" s="265">
        <f>VLOOKUP($A169,'Pivot rīcības un objekti'!$A$4:$U$193,F$9,FALSE)</f>
        <v>187</v>
      </c>
      <c r="G169" s="265">
        <f>VLOOKUP($A169,'Pivot rīcības un objekti'!$A$4:$U$193,G$9,FALSE)</f>
        <v>147</v>
      </c>
      <c r="H169" s="265">
        <f>VLOOKUP($A169,'Pivot rīcības un objekti'!$A$4:$U$193,H$9,FALSE)</f>
        <v>156</v>
      </c>
      <c r="I169" s="265">
        <f>VLOOKUP($A169,'Pivot rīcības un objekti'!$A$4:$U$192,I$9,FALSE)</f>
        <v>152</v>
      </c>
      <c r="J169" s="265">
        <f>VLOOKUP($A169,'Pivot rīcības un objekti'!$A$4:$U$192,J$9,FALSE)</f>
        <v>120</v>
      </c>
      <c r="K169" s="293">
        <f>VLOOKUP(Table4[[#This Row],[Rīcības kods]],'Pivot rīcības un objekti'!$A$4:$T$233,19,FALSE)</f>
        <v>160.66666666666666</v>
      </c>
      <c r="L169" s="265">
        <f>VLOOKUP(Table4[[#This Row],[Rīcības kods]],'Pivot rīcības un objekti'!$A$4:$F$232,6,FALSE)</f>
        <v>3</v>
      </c>
      <c r="M169" s="266">
        <f>VLOOKUP(Table4[[#This Row],[Rīcības kods]],'Pivot rīcības un objekti'!$A$4:$F$232,2,FALSE)</f>
        <v>45100</v>
      </c>
      <c r="N169" s="266">
        <f>Table4[[#This Row],[Izmaksas, EUR]]+N168</f>
        <v>16132280</v>
      </c>
      <c r="O169" s="268"/>
    </row>
    <row r="170" spans="1:15" ht="21" customHeight="1">
      <c r="A170" s="262" t="s">
        <v>151</v>
      </c>
      <c r="B170" s="271" t="s">
        <v>329</v>
      </c>
      <c r="C170" s="264" t="str">
        <f>VLOOKUP(Table4[[#This Row],[Rīcības kods]],Rīcibas_plans!$B$4:$D$234,3,FALSE)</f>
        <v>Laivu nolaišanas vieta</v>
      </c>
      <c r="D170" s="265" t="str">
        <f>VLOOKUP($A170,'Pivot rīcības un objekti'!$A$4:$U$193,21,FALSE)</f>
        <v>Laivu nolaišanas vieta</v>
      </c>
      <c r="E170" s="265">
        <f>VLOOKUP($A170,'Pivot rīcības un objekti'!$A$4:$U$193,E$9,FALSE)</f>
        <v>206</v>
      </c>
      <c r="F170" s="265">
        <f>VLOOKUP($A170,'Pivot rīcības un objekti'!$A$4:$U$193,F$9,FALSE)</f>
        <v>225</v>
      </c>
      <c r="G170" s="265">
        <f>VLOOKUP($A170,'Pivot rīcības un objekti'!$A$4:$U$193,G$9,FALSE)</f>
        <v>218</v>
      </c>
      <c r="H170" s="265">
        <f>VLOOKUP($A170,'Pivot rīcības un objekti'!$A$4:$U$193,H$9,FALSE)</f>
        <v>138</v>
      </c>
      <c r="I170" s="265">
        <f>VLOOKUP($A170,'Pivot rīcības un objekti'!$A$4:$U$192,I$9,FALSE)</f>
        <v>184</v>
      </c>
      <c r="J170" s="265">
        <f>VLOOKUP($A170,'Pivot rīcības un objekti'!$A$4:$U$192,J$9,FALSE)</f>
        <v>182</v>
      </c>
      <c r="K170" s="293">
        <f>VLOOKUP(Table4[[#This Row],[Rīcības kods]],'Pivot rīcības un objekti'!$A$4:$T$233,19,FALSE)</f>
        <v>192.16666666666666</v>
      </c>
      <c r="L170" s="265">
        <f>VLOOKUP(Table4[[#This Row],[Rīcības kods]],'Pivot rīcības un objekti'!$A$4:$F$232,6,FALSE)</f>
        <v>3</v>
      </c>
      <c r="M170" s="266">
        <f>VLOOKUP(Table4[[#This Row],[Rīcības kods]],'Pivot rīcības un objekti'!$A$4:$F$232,2,FALSE)</f>
        <v>15000</v>
      </c>
      <c r="N170" s="266">
        <f>Table4[[#This Row],[Izmaksas, EUR]]+N169</f>
        <v>16147280</v>
      </c>
      <c r="O170" s="268"/>
    </row>
    <row r="171" spans="1:15" ht="24.6" customHeight="1">
      <c r="A171" s="262" t="s">
        <v>165</v>
      </c>
      <c r="B171" s="271" t="s">
        <v>312</v>
      </c>
      <c r="C171" s="264" t="str">
        <f>VLOOKUP(Table4[[#This Row],[Rīcības kods]],Rīcibas_plans!$B$4:$D$234,3,FALSE)</f>
        <v>Rotaļu laukums adrese Baltā iela 27</v>
      </c>
      <c r="D171" s="265" t="str">
        <f>VLOOKUP($A171,'Pivot rīcības un objekti'!$A$4:$U$193,21,FALSE)</f>
        <v>Rotaļu laukuma pilnveidošana un papildināšnaa ar elementiem</v>
      </c>
      <c r="E171" s="265">
        <f>VLOOKUP($A171,'Pivot rīcības un objekti'!$A$4:$U$193,E$9,FALSE)</f>
        <v>227</v>
      </c>
      <c r="F171" s="265">
        <f>VLOOKUP($A171,'Pivot rīcības un objekti'!$A$4:$U$193,F$9,FALSE)</f>
        <v>220</v>
      </c>
      <c r="G171" s="265">
        <f>VLOOKUP($A171,'Pivot rīcības un objekti'!$A$4:$U$193,G$9,FALSE)</f>
        <v>211</v>
      </c>
      <c r="H171" s="265">
        <f>VLOOKUP($A171,'Pivot rīcības un objekti'!$A$4:$U$193,H$9,FALSE)</f>
        <v>186</v>
      </c>
      <c r="I171" s="265">
        <f>VLOOKUP($A171,'Pivot rīcības un objekti'!$A$4:$U$192,I$9,FALSE)</f>
        <v>178</v>
      </c>
      <c r="J171" s="265">
        <f>VLOOKUP($A171,'Pivot rīcības un objekti'!$A$4:$U$192,J$9,FALSE)</f>
        <v>163</v>
      </c>
      <c r="K171" s="293">
        <f>VLOOKUP(Table4[[#This Row],[Rīcības kods]],'Pivot rīcības un objekti'!$A$4:$T$233,19,FALSE)</f>
        <v>197.5</v>
      </c>
      <c r="L171" s="265">
        <f>VLOOKUP(Table4[[#This Row],[Rīcības kods]],'Pivot rīcības un objekti'!$A$4:$F$232,6,FALSE)</f>
        <v>3</v>
      </c>
      <c r="M171" s="266">
        <f>VLOOKUP(Table4[[#This Row],[Rīcības kods]],'Pivot rīcības un objekti'!$A$4:$F$232,2,FALSE)</f>
        <v>13625</v>
      </c>
      <c r="N171" s="266">
        <f>Table4[[#This Row],[Izmaksas, EUR]]+N170</f>
        <v>16160905</v>
      </c>
      <c r="O171" s="268"/>
    </row>
    <row r="172" spans="1:15" ht="33.6" customHeight="1">
      <c r="A172" s="262" t="s">
        <v>96</v>
      </c>
      <c r="B172" s="271" t="s">
        <v>293</v>
      </c>
      <c r="C172" s="264" t="str">
        <f>VLOOKUP(Table4[[#This Row],[Rīcības kods]],Rīcibas_plans!$B$4:$D$234,3,FALSE)</f>
        <v>Mežvidu ielas gājēju infrastruktūra (virziens uz bij. pansionātu)</v>
      </c>
      <c r="D172" s="265" t="str">
        <f>VLOOKUP($A172,'Pivot rīcības un objekti'!$A$4:$U$193,21,FALSE)</f>
        <v>Gājēju infrastruktūras izveide, apgaismojums</v>
      </c>
      <c r="E172" s="265">
        <f>VLOOKUP($A172,'Pivot rīcības un objekti'!$A$4:$U$193,E$9,FALSE)</f>
        <v>215</v>
      </c>
      <c r="F172" s="265">
        <f>VLOOKUP($A172,'Pivot rīcības un objekti'!$A$4:$U$193,F$9,FALSE)</f>
        <v>214</v>
      </c>
      <c r="G172" s="265">
        <f>VLOOKUP($A172,'Pivot rīcības un objekti'!$A$4:$U$193,G$9,FALSE)</f>
        <v>214</v>
      </c>
      <c r="H172" s="265">
        <f>VLOOKUP($A172,'Pivot rīcības un objekti'!$A$4:$U$193,H$9,FALSE)</f>
        <v>181</v>
      </c>
      <c r="I172" s="265">
        <f>VLOOKUP($A172,'Pivot rīcības un objekti'!$A$4:$U$192,I$9,FALSE)</f>
        <v>181</v>
      </c>
      <c r="J172" s="265">
        <f>VLOOKUP($A172,'Pivot rīcības un objekti'!$A$4:$U$192,J$9,FALSE)</f>
        <v>184</v>
      </c>
      <c r="K172" s="293">
        <f>VLOOKUP(Table4[[#This Row],[Rīcības kods]],'Pivot rīcības un objekti'!$A$4:$T$233,19,FALSE)</f>
        <v>198.16666666666666</v>
      </c>
      <c r="L172" s="265">
        <f>VLOOKUP(Table4[[#This Row],[Rīcības kods]],'Pivot rīcības un objekti'!$A$4:$F$232,6,FALSE)</f>
        <v>3</v>
      </c>
      <c r="M172" s="265">
        <f>VLOOKUP(Table4[[#This Row],[Rīcības kods]],'Pivot rīcības un objekti'!$A$4:$F$232,2,FALSE)</f>
        <v>42000</v>
      </c>
      <c r="N172" s="266">
        <f>Table4[[#This Row],[Izmaksas, EUR]]+N171</f>
        <v>16202905</v>
      </c>
      <c r="O172" s="267"/>
    </row>
    <row r="173" spans="1:15" ht="28.15">
      <c r="A173" s="262" t="s">
        <v>241</v>
      </c>
      <c r="B173" s="271" t="s">
        <v>296</v>
      </c>
      <c r="C173" s="264" t="str">
        <f>VLOOKUP(Table4[[#This Row],[Rīcības kods]],Rīcibas_plans!$B$4:$D$234,3,FALSE)</f>
        <v>Laivu nolaišanas vieta ūdenī abpus ceļam.</v>
      </c>
      <c r="D173" s="265" t="e">
        <f>VLOOKUP($A173,'Pivot rīcības un objekti'!$A$4:$U$193,21,FALSE)</f>
        <v>#N/A</v>
      </c>
      <c r="E173" s="265" t="e">
        <f>VLOOKUP($A173,'Pivot rīcības un objekti'!$A$4:$U$193,E$9,FALSE)</f>
        <v>#N/A</v>
      </c>
      <c r="F173" s="265" t="e">
        <f>VLOOKUP($A173,'Pivot rīcības un objekti'!$A$4:$U$193,F$9,FALSE)</f>
        <v>#N/A</v>
      </c>
      <c r="G173" s="265" t="e">
        <f>VLOOKUP($A173,'Pivot rīcības un objekti'!$A$4:$U$193,G$9,FALSE)</f>
        <v>#N/A</v>
      </c>
      <c r="H173" s="265" t="e">
        <f>VLOOKUP($A173,'Pivot rīcības un objekti'!$A$4:$U$193,H$9,FALSE)</f>
        <v>#N/A</v>
      </c>
      <c r="I173" s="265" t="e">
        <f>VLOOKUP($A173,'Pivot rīcības un objekti'!$A$4:$U$192,I$9,FALSE)</f>
        <v>#N/A</v>
      </c>
      <c r="J173" s="265" t="e">
        <f>VLOOKUP($A173,'Pivot rīcības un objekti'!$A$4:$U$192,J$9,FALSE)</f>
        <v>#N/A</v>
      </c>
      <c r="K173" s="293">
        <f>VLOOKUP(Table4[[#This Row],[Rīcības kods]],'Pivot rīcības un objekti'!$A$4:$T$233,19,FALSE)</f>
        <v>206.16666666666666</v>
      </c>
      <c r="L173" s="265">
        <f>VLOOKUP(Table4[[#This Row],[Rīcības kods]],'Pivot rīcības un objekti'!$A$4:$F$232,6,FALSE)</f>
        <v>3</v>
      </c>
      <c r="M173" s="266">
        <f>VLOOKUP(Table4[[#This Row],[Rīcības kods]],'Pivot rīcības un objekti'!$A$4:$F$232,2,FALSE)</f>
        <v>15000</v>
      </c>
      <c r="N173" s="266">
        <f>Table4[[#This Row],[Izmaksas, EUR]]+N172</f>
        <v>16217905</v>
      </c>
      <c r="O173" s="268"/>
    </row>
    <row r="174" spans="1:15" ht="32.450000000000003" customHeight="1">
      <c r="A174" s="262" t="s">
        <v>168</v>
      </c>
      <c r="B174" s="271" t="s">
        <v>324</v>
      </c>
      <c r="C174" s="264" t="str">
        <f>VLOOKUP(Table4[[#This Row],[Rīcības kods]],Rīcibas_plans!$B$4:$D$234,3,FALSE)</f>
        <v xml:space="preserve">`Ķekavas ūdensdzirnavas``, Kekavas parka DK-daļa ar rotaļu laukumu </v>
      </c>
      <c r="D174" s="265" t="str">
        <f>VLOOKUP($A174,'Pivot rīcības un objekti'!$A$4:$U$193,21,FALSE)</f>
        <v>Samazināt antropogēno slodzi uz apkārtejo teritoriju. Platāki gājēju ceļi, cietais segums, atbilstošs segums zem rotaļu iekārtām.</v>
      </c>
      <c r="E174" s="265">
        <f>VLOOKUP($A174,'Pivot rīcības un objekti'!$A$4:$U$193,E$9,FALSE)</f>
        <v>130</v>
      </c>
      <c r="F174" s="265">
        <f>VLOOKUP($A174,'Pivot rīcības un objekti'!$A$4:$U$193,F$9,FALSE)</f>
        <v>149</v>
      </c>
      <c r="G174" s="265">
        <f>VLOOKUP($A174,'Pivot rīcības un objekti'!$A$4:$U$193,G$9,FALSE)</f>
        <v>74</v>
      </c>
      <c r="H174" s="265" t="e">
        <f>VLOOKUP($A174,'Pivot rīcības un objekti'!$A$4:$U$193,H$9,FALSE)</f>
        <v>#VALUE!</v>
      </c>
      <c r="I174" s="265" t="e">
        <f>VLOOKUP($A174,'Pivot rīcības un objekti'!$A$4:$U$192,I$9,FALSE)</f>
        <v>#VALUE!</v>
      </c>
      <c r="J174" s="265" t="e">
        <f>VLOOKUP($A174,'Pivot rīcības un objekti'!$A$4:$U$192,J$9,FALSE)</f>
        <v>#VALUE!</v>
      </c>
      <c r="K174" s="293" t="e">
        <f>VLOOKUP(Table4[[#This Row],[Rīcības kods]],'Pivot rīcības un objekti'!$A$4:$T$233,19,FALSE)</f>
        <v>#VALUE!</v>
      </c>
      <c r="L174" s="265">
        <f>VLOOKUP(Table4[[#This Row],[Rīcības kods]],'Pivot rīcības un objekti'!$A$4:$F$232,6,FALSE)</f>
        <v>3</v>
      </c>
      <c r="M174" s="265">
        <f>VLOOKUP(Table4[[#This Row],[Rīcības kods]],'Pivot rīcības un objekti'!$A$4:$F$232,2,FALSE)</f>
        <v>0</v>
      </c>
      <c r="N174" s="266">
        <f>Table4[[#This Row],[Izmaksas, EUR]]+N173</f>
        <v>16217905</v>
      </c>
      <c r="O174" s="268"/>
    </row>
    <row r="175" spans="1:15" ht="50.45" customHeight="1">
      <c r="A175" s="262" t="s">
        <v>169</v>
      </c>
      <c r="B175" s="271" t="s">
        <v>324</v>
      </c>
      <c r="C175" s="264" t="str">
        <f>VLOOKUP(Table4[[#This Row],[Rīcības kods]],Rīcibas_plans!$B$4:$D$234,3,FALSE)</f>
        <v>Tirdzniecības/Darījumu ēku apkārtne, Nākotnes iela 2,Nākotnes iela 1, Rīgas iela 28.</v>
      </c>
      <c r="D175" s="265" t="str">
        <f>VLOOKUP($A175,'Pivot rīcības un objekti'!$A$4:$U$193,21,FALSE)</f>
        <v>Ieejas zonas iezīmēšana (jur.persona t/c Dalderi). Zaļās zonas palielināšana ar koku stādījumiem.</v>
      </c>
      <c r="E175" s="265">
        <f>VLOOKUP($A175,'Pivot rīcības un objekti'!$A$4:$U$193,E$9,FALSE)</f>
        <v>76</v>
      </c>
      <c r="F175" s="265">
        <f>VLOOKUP($A175,'Pivot rīcības un objekti'!$A$4:$U$193,F$9,FALSE)</f>
        <v>87</v>
      </c>
      <c r="G175" s="265">
        <f>VLOOKUP($A175,'Pivot rīcības un objekti'!$A$4:$U$193,G$9,FALSE)</f>
        <v>147</v>
      </c>
      <c r="H175" s="265" t="e">
        <f>VLOOKUP($A175,'Pivot rīcības un objekti'!$A$4:$U$193,H$9,FALSE)</f>
        <v>#VALUE!</v>
      </c>
      <c r="I175" s="265" t="e">
        <f>VLOOKUP($A175,'Pivot rīcības un objekti'!$A$4:$U$192,I$9,FALSE)</f>
        <v>#VALUE!</v>
      </c>
      <c r="J175" s="265" t="e">
        <f>VLOOKUP($A175,'Pivot rīcības un objekti'!$A$4:$U$192,J$9,FALSE)</f>
        <v>#VALUE!</v>
      </c>
      <c r="K175" s="293" t="e">
        <f>VLOOKUP(Table4[[#This Row],[Rīcības kods]],'Pivot rīcības un objekti'!$A$4:$T$233,19,FALSE)</f>
        <v>#VALUE!</v>
      </c>
      <c r="L175" s="265">
        <f>VLOOKUP(Table4[[#This Row],[Rīcības kods]],'Pivot rīcības un objekti'!$A$4:$F$232,6,FALSE)</f>
        <v>3</v>
      </c>
      <c r="M175" s="265">
        <f>VLOOKUP(Table4[[#This Row],[Rīcības kods]],'Pivot rīcības un objekti'!$A$4:$F$232,2,FALSE)</f>
        <v>0</v>
      </c>
      <c r="N175" s="266">
        <f>Table4[[#This Row],[Izmaksas, EUR]]+N174</f>
        <v>16217905</v>
      </c>
      <c r="O175" s="267"/>
    </row>
    <row r="176" spans="1:15" ht="33.6" customHeight="1">
      <c r="A176" s="262" t="s">
        <v>52</v>
      </c>
      <c r="B176" s="271" t="s">
        <v>323</v>
      </c>
      <c r="C176" s="264" t="str">
        <f>VLOOKUP(Table4[[#This Row],[Rīcības kods]],Rīcibas_plans!$B$4:$D$234,3,FALSE)</f>
        <v>Lapenieku ielas gājēju un velosipēdistu infrastruktūra</v>
      </c>
      <c r="D176" s="265" t="str">
        <f>VLOOKUP($A176,'Pivot rīcības un objekti'!$A$4:$U$193,21,FALSE)</f>
        <v>Apgaismotas gājēju ietves izbūve no Ezera ielas līdz Uzvaras prospektam. Lietišķās atpūtas vietu izvietošana(S tips)</v>
      </c>
      <c r="E176" s="265">
        <f>VLOOKUP($A176,'Pivot rīcības un objekti'!$A$4:$U$193,E$9,FALSE)</f>
        <v>93</v>
      </c>
      <c r="F176" s="265">
        <f>VLOOKUP($A176,'Pivot rīcības un objekti'!$A$4:$U$193,F$9,FALSE)</f>
        <v>95</v>
      </c>
      <c r="G176" s="265">
        <f>VLOOKUP($A176,'Pivot rīcības un objekti'!$A$4:$U$193,G$9,FALSE)</f>
        <v>107</v>
      </c>
      <c r="H176" s="265" t="e">
        <f>VLOOKUP($A176,'Pivot rīcības un objekti'!$A$4:$U$193,H$9,FALSE)</f>
        <v>#VALUE!</v>
      </c>
      <c r="I176" s="265" t="e">
        <f>VLOOKUP($A176,'Pivot rīcības un objekti'!$A$4:$U$192,I$9,FALSE)</f>
        <v>#VALUE!</v>
      </c>
      <c r="J176" s="265" t="e">
        <f>VLOOKUP($A176,'Pivot rīcības un objekti'!$A$4:$U$192,J$9,FALSE)</f>
        <v>#VALUE!</v>
      </c>
      <c r="K176" s="293" t="e">
        <f>VLOOKUP(Table4[[#This Row],[Rīcības kods]],'Pivot rīcības un objekti'!$A$4:$T$233,19,FALSE)</f>
        <v>#VALUE!</v>
      </c>
      <c r="L176" s="265">
        <f>VLOOKUP(Table4[[#This Row],[Rīcības kods]],'Pivot rīcības un objekti'!$A$4:$F$232,6,FALSE)</f>
        <v>3</v>
      </c>
      <c r="M176" s="265">
        <f>VLOOKUP(Table4[[#This Row],[Rīcības kods]],'Pivot rīcības un objekti'!$A$4:$F$232,2,FALSE)</f>
        <v>0</v>
      </c>
      <c r="N176" s="266">
        <f>Table4[[#This Row],[Izmaksas, EUR]]+N175</f>
        <v>16217905</v>
      </c>
      <c r="O176" s="267"/>
    </row>
    <row r="177" spans="1:15" ht="39.6" customHeight="1">
      <c r="A177" s="262" t="s">
        <v>53</v>
      </c>
      <c r="B177" s="271" t="s">
        <v>323</v>
      </c>
      <c r="C177" s="264" t="str">
        <f>VLOOKUP(Table4[[#This Row],[Rīcības kods]],Rīcibas_plans!$B$4:$D$234,3,FALSE)</f>
        <v>Lapenieku ielas gājēju un velosipēdistu infrastruktūra</v>
      </c>
      <c r="D177" s="265" t="str">
        <f>VLOOKUP($A177,'Pivot rīcības un objekti'!$A$4:$U$193,21,FALSE)</f>
        <v>Apgaismotas gājēju ietves izbūve no Ezera ielas līdz Uzvaras prospektam. Lietišķās atpūtas vietu izvietošana(S tips)</v>
      </c>
      <c r="E177" s="265">
        <f>VLOOKUP($A177,'Pivot rīcības un objekti'!$A$4:$U$193,E$9,FALSE)</f>
        <v>93</v>
      </c>
      <c r="F177" s="265">
        <f>VLOOKUP($A177,'Pivot rīcības un objekti'!$A$4:$U$193,F$9,FALSE)</f>
        <v>134</v>
      </c>
      <c r="G177" s="265">
        <f>VLOOKUP($A177,'Pivot rīcības un objekti'!$A$4:$U$193,G$9,FALSE)</f>
        <v>163</v>
      </c>
      <c r="H177" s="265" t="e">
        <f>VLOOKUP($A177,'Pivot rīcības un objekti'!$A$4:$U$193,H$9,FALSE)</f>
        <v>#VALUE!</v>
      </c>
      <c r="I177" s="265" t="e">
        <f>VLOOKUP($A177,'Pivot rīcības un objekti'!$A$4:$U$192,I$9,FALSE)</f>
        <v>#VALUE!</v>
      </c>
      <c r="J177" s="265" t="e">
        <f>VLOOKUP($A177,'Pivot rīcības un objekti'!$A$4:$U$192,J$9,FALSE)</f>
        <v>#VALUE!</v>
      </c>
      <c r="K177" s="293" t="e">
        <f>VLOOKUP(Table4[[#This Row],[Rīcības kods]],'Pivot rīcības un objekti'!$A$4:$T$233,19,FALSE)</f>
        <v>#VALUE!</v>
      </c>
      <c r="L177" s="265">
        <f>VLOOKUP(Table4[[#This Row],[Rīcības kods]],'Pivot rīcības un objekti'!$A$4:$F$232,6,FALSE)</f>
        <v>3</v>
      </c>
      <c r="M177" s="265">
        <f>VLOOKUP(Table4[[#This Row],[Rīcības kods]],'Pivot rīcības un objekti'!$A$4:$F$232,2,FALSE)</f>
        <v>0</v>
      </c>
      <c r="N177" s="266">
        <f>Table4[[#This Row],[Izmaksas, EUR]]+N176</f>
        <v>16217905</v>
      </c>
      <c r="O177" s="268"/>
    </row>
    <row r="178" spans="1:15" ht="28.15">
      <c r="A178" s="262" t="s">
        <v>238</v>
      </c>
      <c r="B178" s="271" t="s">
        <v>296</v>
      </c>
      <c r="C178" s="264" t="str">
        <f>VLOOKUP(Table4[[#This Row],[Rīcības kods]],Rīcibas_plans!$B$4:$D$234,3,FALSE)</f>
        <v>Mikromobilitātes punkts Mellupos/Plakanciemā</v>
      </c>
      <c r="D178" s="265" t="e">
        <f>VLOOKUP($A178,'Pivot rīcības un objekti'!$A$4:$U$193,21,FALSE)</f>
        <v>#N/A</v>
      </c>
      <c r="E178" s="265" t="e">
        <f>VLOOKUP($A178,'Pivot rīcības un objekti'!$A$4:$U$193,E$9,FALSE)</f>
        <v>#N/A</v>
      </c>
      <c r="F178" s="265" t="e">
        <f>VLOOKUP($A178,'Pivot rīcības un objekti'!$A$4:$U$193,F$9,FALSE)</f>
        <v>#N/A</v>
      </c>
      <c r="G178" s="265" t="e">
        <f>VLOOKUP($A178,'Pivot rīcības un objekti'!$A$4:$U$193,G$9,FALSE)</f>
        <v>#N/A</v>
      </c>
      <c r="H178" s="265" t="e">
        <f>VLOOKUP($A178,'Pivot rīcības un objekti'!$A$4:$U$193,H$9,FALSE)</f>
        <v>#N/A</v>
      </c>
      <c r="I178" s="265" t="e">
        <f>VLOOKUP($A178,'Pivot rīcības un objekti'!$A$4:$U$192,I$9,FALSE)</f>
        <v>#N/A</v>
      </c>
      <c r="J178" s="265" t="e">
        <f>VLOOKUP($A178,'Pivot rīcības un objekti'!$A$4:$U$192,J$9,FALSE)</f>
        <v>#N/A</v>
      </c>
      <c r="K178" s="293" t="e">
        <f>VLOOKUP(Table4[[#This Row],[Rīcības kods]],'Pivot rīcības un objekti'!$A$4:$T$233,19,FALSE)</f>
        <v>#VALUE!</v>
      </c>
      <c r="L178" s="265">
        <f>VLOOKUP(Table4[[#This Row],[Rīcības kods]],'Pivot rīcības un objekti'!$A$4:$F$232,6,FALSE)</f>
        <v>3</v>
      </c>
      <c r="M178" s="266">
        <f>VLOOKUP(Table4[[#This Row],[Rīcības kods]],'Pivot rīcības un objekti'!$A$4:$F$232,2,FALSE)</f>
        <v>0</v>
      </c>
      <c r="N178" s="266">
        <f>Table4[[#This Row],[Izmaksas, EUR]]+N177</f>
        <v>16217905</v>
      </c>
      <c r="O178" s="268"/>
    </row>
    <row r="179" spans="1:15" ht="28.15">
      <c r="A179" s="262" t="s">
        <v>247</v>
      </c>
      <c r="B179" s="271" t="s">
        <v>328</v>
      </c>
      <c r="C179" s="264" t="str">
        <f>VLOOKUP(Table4[[#This Row],[Rīcības kods]],Rīcibas_plans!$B$4:$D$234,3,FALSE)</f>
        <v>Plānota Katlakalna skolas vieta pie autoceļa V2 (Valdlauči -Rāmava)</v>
      </c>
      <c r="D179" s="265" t="e">
        <f>VLOOKUP($A179,'Pivot rīcības un objekti'!$A$4:$U$193,21,FALSE)</f>
        <v>#N/A</v>
      </c>
      <c r="E179" s="265" t="e">
        <f>VLOOKUP($A179,'Pivot rīcības un objekti'!$A$4:$U$193,E$9,FALSE)</f>
        <v>#N/A</v>
      </c>
      <c r="F179" s="265" t="e">
        <f>VLOOKUP($A179,'Pivot rīcības un objekti'!$A$4:$U$193,F$9,FALSE)</f>
        <v>#N/A</v>
      </c>
      <c r="G179" s="265" t="e">
        <f>VLOOKUP($A179,'Pivot rīcības un objekti'!$A$4:$U$193,G$9,FALSE)</f>
        <v>#N/A</v>
      </c>
      <c r="H179" s="265" t="e">
        <f>VLOOKUP($A179,'Pivot rīcības un objekti'!$A$4:$U$193,H$9,FALSE)</f>
        <v>#N/A</v>
      </c>
      <c r="I179" s="265" t="e">
        <f>VLOOKUP($A179,'Pivot rīcības un objekti'!$A$4:$U$192,I$9,FALSE)</f>
        <v>#N/A</v>
      </c>
      <c r="J179" s="265" t="e">
        <f>VLOOKUP($A179,'Pivot rīcības un objekti'!$A$4:$U$192,J$9,FALSE)</f>
        <v>#N/A</v>
      </c>
      <c r="K179" s="293">
        <f>VLOOKUP(Table4[[#This Row],[Rīcības kods]],'Pivot rīcības un objekti'!$A$4:$T$233,19,FALSE)</f>
        <v>20.833333333333332</v>
      </c>
      <c r="L179" s="265">
        <f>VLOOKUP(Table4[[#This Row],[Rīcības kods]],'Pivot rīcības un objekti'!$A$4:$F$232,6,FALSE)</f>
        <v>7</v>
      </c>
      <c r="M179" s="265">
        <f>VLOOKUP(Table4[[#This Row],[Rīcības kods]],'Pivot rīcības un objekti'!$A$4:$F$232,2,FALSE)</f>
        <v>30325</v>
      </c>
      <c r="N179" s="266">
        <f>Table4[[#This Row],[Izmaksas, EUR]]+N178</f>
        <v>16248230</v>
      </c>
      <c r="O179" s="268"/>
    </row>
    <row r="180" spans="1:15" ht="28.15">
      <c r="A180" s="262" t="s">
        <v>269</v>
      </c>
      <c r="B180" s="271" t="s">
        <v>328</v>
      </c>
      <c r="C180" s="264" t="str">
        <f>VLOOKUP(Table4[[#This Row],[Rīcības kods]],Rīcibas_plans!$B$4:$D$234,3,FALSE)</f>
        <v>Atpūtas vieta "Nēģīši", Katlakalns, Ievu ielas galā</v>
      </c>
      <c r="D180" s="265" t="e">
        <f>VLOOKUP($A180,'Pivot rīcības un objekti'!$A$4:$U$193,21,FALSE)</f>
        <v>#N/A</v>
      </c>
      <c r="E180" s="265" t="e">
        <f>VLOOKUP($A180,'Pivot rīcības un objekti'!$A$4:$U$193,E$9,FALSE)</f>
        <v>#N/A</v>
      </c>
      <c r="F180" s="265" t="e">
        <f>VLOOKUP($A180,'Pivot rīcības un objekti'!$A$4:$U$193,F$9,FALSE)</f>
        <v>#N/A</v>
      </c>
      <c r="G180" s="265" t="e">
        <f>VLOOKUP($A180,'Pivot rīcības un objekti'!$A$4:$U$193,G$9,FALSE)</f>
        <v>#N/A</v>
      </c>
      <c r="H180" s="265" t="e">
        <f>VLOOKUP($A180,'Pivot rīcības un objekti'!$A$4:$U$193,H$9,FALSE)</f>
        <v>#N/A</v>
      </c>
      <c r="I180" s="265" t="e">
        <f>VLOOKUP($A180,'Pivot rīcības un objekti'!$A$4:$U$192,I$9,FALSE)</f>
        <v>#N/A</v>
      </c>
      <c r="J180" s="265" t="e">
        <f>VLOOKUP($A180,'Pivot rīcības un objekti'!$A$4:$U$192,J$9,FALSE)</f>
        <v>#N/A</v>
      </c>
      <c r="K180" s="293">
        <f>VLOOKUP(Table4[[#This Row],[Rīcības kods]],'Pivot rīcības un objekti'!$A$4:$T$233,19,FALSE)</f>
        <v>45.5</v>
      </c>
      <c r="L180" s="265">
        <f>VLOOKUP(Table4[[#This Row],[Rīcības kods]],'Pivot rīcības un objekti'!$A$4:$F$232,6,FALSE)</f>
        <v>7</v>
      </c>
      <c r="M180" s="265">
        <f>VLOOKUP(Table4[[#This Row],[Rīcības kods]],'Pivot rīcības un objekti'!$A$4:$F$232,2,FALSE)</f>
        <v>7160</v>
      </c>
      <c r="N180" s="266">
        <f>Table4[[#This Row],[Izmaksas, EUR]]+N179</f>
        <v>16255390</v>
      </c>
      <c r="O180" s="267"/>
    </row>
    <row r="181" spans="1:15" ht="28.15">
      <c r="A181" s="262" t="s">
        <v>248</v>
      </c>
      <c r="B181" s="271" t="s">
        <v>328</v>
      </c>
      <c r="C181" s="264" t="str">
        <f>VLOOKUP(Table4[[#This Row],[Rīcības kods]],Rīcibas_plans!$B$4:$D$234,3,FALSE)</f>
        <v>Zemes gagals "Ābuli" pie autoceļa V2 (Valdlauči -Rāmava)</v>
      </c>
      <c r="D181" s="265" t="e">
        <f>VLOOKUP($A181,'Pivot rīcības un objekti'!$A$4:$U$193,21,FALSE)</f>
        <v>#N/A</v>
      </c>
      <c r="E181" s="265" t="e">
        <f>VLOOKUP($A181,'Pivot rīcības un objekti'!$A$4:$U$193,E$9,FALSE)</f>
        <v>#N/A</v>
      </c>
      <c r="F181" s="265" t="e">
        <f>VLOOKUP($A181,'Pivot rīcības un objekti'!$A$4:$U$193,F$9,FALSE)</f>
        <v>#N/A</v>
      </c>
      <c r="G181" s="265" t="e">
        <f>VLOOKUP($A181,'Pivot rīcības un objekti'!$A$4:$U$193,G$9,FALSE)</f>
        <v>#N/A</v>
      </c>
      <c r="H181" s="265" t="e">
        <f>VLOOKUP($A181,'Pivot rīcības un objekti'!$A$4:$U$193,H$9,FALSE)</f>
        <v>#N/A</v>
      </c>
      <c r="I181" s="265" t="e">
        <f>VLOOKUP($A181,'Pivot rīcības un objekti'!$A$4:$U$192,I$9,FALSE)</f>
        <v>#N/A</v>
      </c>
      <c r="J181" s="265" t="e">
        <f>VLOOKUP($A181,'Pivot rīcības un objekti'!$A$4:$U$192,J$9,FALSE)</f>
        <v>#N/A</v>
      </c>
      <c r="K181" s="293">
        <f>VLOOKUP(Table4[[#This Row],[Rīcības kods]],'Pivot rīcības un objekti'!$A$4:$T$233,19,FALSE)</f>
        <v>48.333333333333336</v>
      </c>
      <c r="L181" s="265">
        <f>VLOOKUP(Table4[[#This Row],[Rīcības kods]],'Pivot rīcības un objekti'!$A$4:$F$232,6,FALSE)</f>
        <v>7</v>
      </c>
      <c r="M181" s="265">
        <f>VLOOKUP(Table4[[#This Row],[Rīcības kods]],'Pivot rīcības un objekti'!$A$4:$F$232,2,FALSE)</f>
        <v>59875</v>
      </c>
      <c r="N181" s="266">
        <f>Table4[[#This Row],[Izmaksas, EUR]]+N180</f>
        <v>16315265</v>
      </c>
      <c r="O181" s="267"/>
    </row>
    <row r="182" spans="1:15" ht="45" customHeight="1">
      <c r="A182" s="262" t="s">
        <v>106</v>
      </c>
      <c r="B182" s="271" t="s">
        <v>328</v>
      </c>
      <c r="C182" s="264" t="str">
        <f>VLOOKUP(Table4[[#This Row],[Rīcības kods]],Rīcibas_plans!$B$4:$D$234,3,FALSE)</f>
        <v>Aktīvās atpūtas laukums pie Baldones sporta kompleksa, Iecavas iela 2, Baldone</v>
      </c>
      <c r="D182" s="265" t="str">
        <f>VLOOKUP($A182,'Pivot rīcības un objekti'!$A$4:$U$193,21,FALSE)</f>
        <v>Potenciāli attīstāms par XL aktīvās atpūtas laukumu papildinot ar rotaļu laukumu. Papildināt ar lietišķās atpūtas vietām, āra tualeti, norādēm</v>
      </c>
      <c r="E182" s="265">
        <f>VLOOKUP($A182,'Pivot rīcības un objekti'!$A$4:$U$193,E$9,FALSE)</f>
        <v>64</v>
      </c>
      <c r="F182" s="265">
        <f>VLOOKUP($A182,'Pivot rīcības un objekti'!$A$4:$U$193,F$9,FALSE)</f>
        <v>43</v>
      </c>
      <c r="G182" s="265">
        <f>VLOOKUP($A182,'Pivot rīcības un objekti'!$A$4:$U$193,G$9,FALSE)</f>
        <v>18</v>
      </c>
      <c r="H182" s="265">
        <f>VLOOKUP($A182,'Pivot rīcības un objekti'!$A$4:$U$193,H$9,FALSE)</f>
        <v>82</v>
      </c>
      <c r="I182" s="265">
        <f>VLOOKUP($A182,'Pivot rīcības un objekti'!$A$4:$U$192,I$9,FALSE)</f>
        <v>65</v>
      </c>
      <c r="J182" s="265">
        <f>VLOOKUP($A182,'Pivot rīcības un objekti'!$A$4:$U$192,J$9,FALSE)</f>
        <v>26</v>
      </c>
      <c r="K182" s="293">
        <f>VLOOKUP(Table4[[#This Row],[Rīcības kods]],'Pivot rīcības un objekti'!$A$4:$T$233,19,FALSE)</f>
        <v>49.666666666666664</v>
      </c>
      <c r="L182" s="265">
        <f>VLOOKUP(Table4[[#This Row],[Rīcības kods]],'Pivot rīcības un objekti'!$A$4:$F$232,6,FALSE)</f>
        <v>7</v>
      </c>
      <c r="M182" s="265">
        <f>VLOOKUP(Table4[[#This Row],[Rīcības kods]],'Pivot rīcības un objekti'!$A$4:$F$232,2,FALSE)</f>
        <v>45100</v>
      </c>
      <c r="N182" s="266">
        <f>Table4[[#This Row],[Izmaksas, EUR]]+N181</f>
        <v>16360365</v>
      </c>
      <c r="O182" s="267"/>
    </row>
    <row r="183" spans="1:15" ht="39.6" customHeight="1">
      <c r="A183" s="262" t="s">
        <v>195</v>
      </c>
      <c r="B183" s="271" t="s">
        <v>324</v>
      </c>
      <c r="C183" s="264" t="str">
        <f>VLOOKUP(Table4[[#This Row],[Rīcības kods]],Rīcibas_plans!$B$4:$D$234,3,FALSE)</f>
        <v>Nākotnes ielas gājēju un velosipēdistu infrastruktūra</v>
      </c>
      <c r="D183" s="265" t="str">
        <f>VLOOKUP($A183,'Pivot rīcības un objekti'!$A$4:$U$193,21,FALSE)</f>
        <v xml:space="preserve">Apgaismota  gājēju ietve no Kanāla ielas līdz Jaunie Ķekavas kapi </v>
      </c>
      <c r="E183" s="265">
        <f>VLOOKUP($A183,'Pivot rīcības un objekti'!$A$4:$U$193,E$9,FALSE)</f>
        <v>5</v>
      </c>
      <c r="F183" s="265">
        <f>VLOOKUP($A183,'Pivot rīcības un objekti'!$A$4:$U$193,F$9,FALSE)</f>
        <v>2</v>
      </c>
      <c r="G183" s="265">
        <f>VLOOKUP($A183,'Pivot rīcības un objekti'!$A$4:$U$193,G$9,FALSE)</f>
        <v>5</v>
      </c>
      <c r="H183" s="265">
        <f>VLOOKUP($A183,'Pivot rīcības un objekti'!$A$4:$U$193,H$9,FALSE)</f>
        <v>119</v>
      </c>
      <c r="I183" s="265">
        <f>VLOOKUP($A183,'Pivot rīcības un objekti'!$A$4:$U$192,I$9,FALSE)</f>
        <v>85</v>
      </c>
      <c r="J183" s="265">
        <f>VLOOKUP($A183,'Pivot rīcības un objekti'!$A$4:$U$192,J$9,FALSE)</f>
        <v>84</v>
      </c>
      <c r="K183" s="293">
        <f>VLOOKUP(Table4[[#This Row],[Rīcības kods]],'Pivot rīcības un objekti'!$A$4:$T$233,19,FALSE)</f>
        <v>50</v>
      </c>
      <c r="L183" s="265">
        <f>VLOOKUP(Table4[[#This Row],[Rīcības kods]],'Pivot rīcības un objekti'!$A$4:$F$232,6,FALSE)</f>
        <v>7</v>
      </c>
      <c r="M183" s="265">
        <f>VLOOKUP(Table4[[#This Row],[Rīcības kods]],'Pivot rīcības un objekti'!$A$4:$F$232,2,FALSE)</f>
        <v>550000</v>
      </c>
      <c r="N183" s="266">
        <f>Table4[[#This Row],[Izmaksas, EUR]]+N182</f>
        <v>16910365</v>
      </c>
      <c r="O183" s="268"/>
    </row>
    <row r="184" spans="1:15" ht="37.9" customHeight="1">
      <c r="A184" s="262" t="s">
        <v>231</v>
      </c>
      <c r="B184" s="271" t="s">
        <v>324</v>
      </c>
      <c r="C184" s="264" t="str">
        <f>VLOOKUP(Table4[[#This Row],[Rīcības kods]],Rīcibas_plans!$B$4:$D$234,3,FALSE)</f>
        <v>Ķekavas parka ZK-daļa, Gaismas iela 1C,</v>
      </c>
      <c r="D184" s="265" t="str">
        <f>VLOOKUP($A184,'Pivot rīcības un objekti'!$A$4:$U$193,21,FALSE)</f>
        <v>Gājēju ceļu izbūve un lietišķās atpūtas vietu labiekārtošana (S un M tipa). Uzlabot pieejamību pie Brāļu kapu teritorijas (uzkalniņa). Izvērtēt skatu atvēršanu no Brāļu kapu kalniņa</v>
      </c>
      <c r="E184" s="265">
        <f>VLOOKUP($A184,'Pivot rīcības un objekti'!$A$4:$U$193,E$9,FALSE)</f>
        <v>93</v>
      </c>
      <c r="F184" s="265">
        <f>VLOOKUP($A184,'Pivot rīcības un objekti'!$A$4:$U$193,F$9,FALSE)</f>
        <v>95</v>
      </c>
      <c r="G184" s="265">
        <f>VLOOKUP($A184,'Pivot rīcības un objekti'!$A$4:$U$193,G$9,FALSE)</f>
        <v>42</v>
      </c>
      <c r="H184" s="265">
        <f>VLOOKUP($A184,'Pivot rīcības un objekti'!$A$4:$U$193,H$9,FALSE)</f>
        <v>60</v>
      </c>
      <c r="I184" s="265">
        <f>VLOOKUP($A184,'Pivot rīcības un objekti'!$A$4:$U$192,I$9,FALSE)</f>
        <v>61</v>
      </c>
      <c r="J184" s="265">
        <f>VLOOKUP($A184,'Pivot rīcības un objekti'!$A$4:$U$192,J$9,FALSE)</f>
        <v>24</v>
      </c>
      <c r="K184" s="293">
        <f>VLOOKUP(Table4[[#This Row],[Rīcības kods]],'Pivot rīcības un objekti'!$A$4:$T$233,19,FALSE)</f>
        <v>62.5</v>
      </c>
      <c r="L184" s="265">
        <f>VLOOKUP(Table4[[#This Row],[Rīcības kods]],'Pivot rīcības un objekti'!$A$4:$F$232,6,FALSE)</f>
        <v>7</v>
      </c>
      <c r="M184" s="265">
        <f>VLOOKUP(Table4[[#This Row],[Rīcības kods]],'Pivot rīcības un objekti'!$A$4:$F$232,2,FALSE)</f>
        <v>13825</v>
      </c>
      <c r="N184" s="266">
        <f>Table4[[#This Row],[Izmaksas, EUR]]+N183</f>
        <v>16924190</v>
      </c>
      <c r="O184" s="268"/>
    </row>
    <row r="185" spans="1:15" ht="28.15">
      <c r="A185" s="262" t="s">
        <v>246</v>
      </c>
      <c r="B185" s="271" t="s">
        <v>328</v>
      </c>
      <c r="C185" s="264" t="str">
        <f>VLOOKUP(Table4[[#This Row],[Rīcības kods]],Rīcibas_plans!$B$4:$D$234,3,FALSE)</f>
        <v>Zemes gagals "Ābuli" pie autoceļa V2 (Valdlauči -Rāmava)</v>
      </c>
      <c r="D185" s="265" t="e">
        <f>VLOOKUP($A185,'Pivot rīcības un objekti'!$A$4:$U$193,21,FALSE)</f>
        <v>#N/A</v>
      </c>
      <c r="E185" s="265" t="e">
        <f>VLOOKUP($A185,'Pivot rīcības un objekti'!$A$4:$U$193,E$9,FALSE)</f>
        <v>#N/A</v>
      </c>
      <c r="F185" s="265" t="e">
        <f>VLOOKUP($A185,'Pivot rīcības un objekti'!$A$4:$U$193,F$9,FALSE)</f>
        <v>#N/A</v>
      </c>
      <c r="G185" s="265" t="e">
        <f>VLOOKUP($A185,'Pivot rīcības un objekti'!$A$4:$U$193,G$9,FALSE)</f>
        <v>#N/A</v>
      </c>
      <c r="H185" s="265" t="e">
        <f>VLOOKUP($A185,'Pivot rīcības un objekti'!$A$4:$U$193,H$9,FALSE)</f>
        <v>#N/A</v>
      </c>
      <c r="I185" s="265" t="e">
        <f>VLOOKUP($A185,'Pivot rīcības un objekti'!$A$4:$U$192,I$9,FALSE)</f>
        <v>#N/A</v>
      </c>
      <c r="J185" s="265" t="e">
        <f>VLOOKUP($A185,'Pivot rīcības un objekti'!$A$4:$U$192,J$9,FALSE)</f>
        <v>#N/A</v>
      </c>
      <c r="K185" s="293">
        <f>VLOOKUP(Table4[[#This Row],[Rīcības kods]],'Pivot rīcības un objekti'!$A$4:$T$233,19,FALSE)</f>
        <v>67</v>
      </c>
      <c r="L185" s="265">
        <f>VLOOKUP(Table4[[#This Row],[Rīcības kods]],'Pivot rīcības un objekti'!$A$4:$F$232,6,FALSE)</f>
        <v>7</v>
      </c>
      <c r="M185" s="265">
        <f>VLOOKUP(Table4[[#This Row],[Rīcības kods]],'Pivot rīcības un objekti'!$A$4:$F$232,2,FALSE)</f>
        <v>1000000</v>
      </c>
      <c r="N185" s="266">
        <f>Table4[[#This Row],[Izmaksas, EUR]]+N184</f>
        <v>17924190</v>
      </c>
      <c r="O185" s="267"/>
    </row>
    <row r="186" spans="1:15" ht="31.15" customHeight="1">
      <c r="A186" s="262" t="s">
        <v>70</v>
      </c>
      <c r="B186" s="271" t="s">
        <v>323</v>
      </c>
      <c r="C186" s="264" t="str">
        <f>VLOOKUP(Table4[[#This Row],[Rīcības kods]],Rīcibas_plans!$B$4:$D$234,3,FALSE)</f>
        <v>Mūkalna parks</v>
      </c>
      <c r="D186" s="265" t="str">
        <f>VLOOKUP($A186,'Pivot rīcības un objekti'!$A$4:$U$193,21,FALSE)</f>
        <v>Parka labiekārtošana. Ceļu, lietišķās atpūtas vietu ierīkošana, dīķa tīrīšana, laipas izveide</v>
      </c>
      <c r="E186" s="265">
        <f>VLOOKUP($A186,'Pivot rīcības un objekti'!$A$4:$U$193,E$9,FALSE)</f>
        <v>5</v>
      </c>
      <c r="F186" s="265">
        <f>VLOOKUP($A186,'Pivot rīcības un objekti'!$A$4:$U$193,F$9,FALSE)</f>
        <v>7</v>
      </c>
      <c r="G186" s="265">
        <f>VLOOKUP($A186,'Pivot rīcības un objekti'!$A$4:$U$193,G$9,FALSE)</f>
        <v>8</v>
      </c>
      <c r="H186" s="265">
        <f>VLOOKUP($A186,'Pivot rīcības un objekti'!$A$4:$U$193,H$9,FALSE)</f>
        <v>166</v>
      </c>
      <c r="I186" s="265">
        <f>VLOOKUP($A186,'Pivot rīcības un objekti'!$A$4:$U$192,I$9,FALSE)</f>
        <v>128</v>
      </c>
      <c r="J186" s="265">
        <f>VLOOKUP($A186,'Pivot rīcības un objekti'!$A$4:$U$192,J$9,FALSE)</f>
        <v>137</v>
      </c>
      <c r="K186" s="293">
        <f>VLOOKUP(Table4[[#This Row],[Rīcības kods]],'Pivot rīcības un objekti'!$A$4:$T$233,19,FALSE)</f>
        <v>75.166666666666671</v>
      </c>
      <c r="L186" s="265">
        <f>VLOOKUP(Table4[[#This Row],[Rīcības kods]],'Pivot rīcības un objekti'!$A$4:$F$232,6,FALSE)</f>
        <v>7</v>
      </c>
      <c r="M186" s="266">
        <f>VLOOKUP(Table4[[#This Row],[Rīcības kods]],'Pivot rīcības un objekti'!$A$4:$F$232,2,FALSE)</f>
        <v>2450000</v>
      </c>
      <c r="N186" s="266">
        <f>Table4[[#This Row],[Izmaksas, EUR]]+N185</f>
        <v>20374190</v>
      </c>
      <c r="O186" s="268"/>
    </row>
    <row r="187" spans="1:15" ht="34.9" customHeight="1">
      <c r="A187" s="262" t="s">
        <v>191</v>
      </c>
      <c r="B187" s="271" t="s">
        <v>345</v>
      </c>
      <c r="C187" s="264" t="str">
        <f>VLOOKUP(Table4[[#This Row],[Rīcības kods]],Rīcibas_plans!$B$4:$D$234,3,FALSE)</f>
        <v>Gājēju ietve - Ziemeļu iela</v>
      </c>
      <c r="D187" s="265" t="str">
        <f>VLOOKUP($A187,'Pivot rīcības un objekti'!$A$4:$U$193,21,FALSE)</f>
        <v>Apgaismotas ietves izbūve no A7 līdz putnu fabrikai (savienojums  ar plānoto  gājēju un velosipēdu ceļu). Izvietot lietišķās atpūtas vietas.</v>
      </c>
      <c r="E187" s="265">
        <f>VLOOKUP($A187,'Pivot rīcības un objekti'!$A$4:$U$193,E$9,FALSE)</f>
        <v>93</v>
      </c>
      <c r="F187" s="265">
        <f>VLOOKUP($A187,'Pivot rīcības un objekti'!$A$4:$U$193,F$9,FALSE)</f>
        <v>95</v>
      </c>
      <c r="G187" s="265">
        <f>VLOOKUP($A187,'Pivot rīcības un objekti'!$A$4:$U$193,G$9,FALSE)</f>
        <v>132</v>
      </c>
      <c r="H187" s="265">
        <f>VLOOKUP($A187,'Pivot rīcības un objekti'!$A$4:$U$193,H$9,FALSE)</f>
        <v>43</v>
      </c>
      <c r="I187" s="265">
        <f>VLOOKUP($A187,'Pivot rīcības un objekti'!$A$4:$U$192,I$9,FALSE)</f>
        <v>44</v>
      </c>
      <c r="J187" s="265">
        <f>VLOOKUP($A187,'Pivot rīcības un objekti'!$A$4:$U$192,J$9,FALSE)</f>
        <v>60</v>
      </c>
      <c r="K187" s="293">
        <f>VLOOKUP(Table4[[#This Row],[Rīcības kods]],'Pivot rīcības un objekti'!$A$4:$T$233,19,FALSE)</f>
        <v>77.833333333333329</v>
      </c>
      <c r="L187" s="265">
        <f>VLOOKUP(Table4[[#This Row],[Rīcības kods]],'Pivot rīcības un objekti'!$A$4:$F$232,6,FALSE)</f>
        <v>7</v>
      </c>
      <c r="M187" s="265">
        <f>VLOOKUP(Table4[[#This Row],[Rīcības kods]],'Pivot rīcības un objekti'!$A$4:$F$232,2,FALSE)</f>
        <v>8295</v>
      </c>
      <c r="N187" s="266">
        <f>Table4[[#This Row],[Izmaksas, EUR]]+N186</f>
        <v>20382485</v>
      </c>
      <c r="O187" s="267"/>
    </row>
    <row r="188" spans="1:15" ht="39.6" customHeight="1">
      <c r="A188" s="262" t="s">
        <v>223</v>
      </c>
      <c r="B188" s="271" t="s">
        <v>324</v>
      </c>
      <c r="C188" s="264" t="str">
        <f>VLOOKUP(Table4[[#This Row],[Rīcības kods]],Rīcibas_plans!$B$4:$D$234,3,FALSE)</f>
        <v>Gājēju ietve Vanadziņu  un Gaismas ielās</v>
      </c>
      <c r="D188" s="265" t="str">
        <f>VLOOKUP($A188,'Pivot rīcības un objekti'!$A$4:$U$193,21,FALSE)</f>
        <v xml:space="preserve">Gar “Līgas pirti”  nākotnē izveidot par gājēju ietvi/ceļu, jo jau šobrīd tas ir iedzīvotāju vidū populārs pastaigu maršrut </v>
      </c>
      <c r="E188" s="265">
        <f>VLOOKUP($A188,'Pivot rīcības un objekti'!$A$4:$U$193,E$9,FALSE)</f>
        <v>76</v>
      </c>
      <c r="F188" s="265">
        <f>VLOOKUP($A188,'Pivot rīcības un objekti'!$A$4:$U$193,F$9,FALSE)</f>
        <v>62</v>
      </c>
      <c r="G188" s="265">
        <f>VLOOKUP($A188,'Pivot rīcības un objekti'!$A$4:$U$193,G$9,FALSE)</f>
        <v>39</v>
      </c>
      <c r="H188" s="265">
        <f>VLOOKUP($A188,'Pivot rīcības un objekti'!$A$4:$U$193,H$9,FALSE)</f>
        <v>123</v>
      </c>
      <c r="I188" s="265">
        <f>VLOOKUP($A188,'Pivot rīcības un objekti'!$A$4:$U$192,I$9,FALSE)</f>
        <v>105</v>
      </c>
      <c r="J188" s="265">
        <f>VLOOKUP($A188,'Pivot rīcības un objekti'!$A$4:$U$192,J$9,FALSE)</f>
        <v>97</v>
      </c>
      <c r="K188" s="293">
        <f>VLOOKUP(Table4[[#This Row],[Rīcības kods]],'Pivot rīcības un objekti'!$A$4:$T$233,19,FALSE)</f>
        <v>83.666666666666671</v>
      </c>
      <c r="L188" s="265">
        <f>VLOOKUP(Table4[[#This Row],[Rīcības kods]],'Pivot rīcības un objekti'!$A$4:$F$232,6,FALSE)</f>
        <v>7</v>
      </c>
      <c r="M188" s="265">
        <f>VLOOKUP(Table4[[#This Row],[Rīcības kods]],'Pivot rīcības un objekti'!$A$4:$F$232,2,FALSE)</f>
        <v>151200</v>
      </c>
      <c r="N188" s="266">
        <f>Table4[[#This Row],[Izmaksas, EUR]]+N187</f>
        <v>20533685</v>
      </c>
      <c r="O188" s="267"/>
    </row>
    <row r="189" spans="1:15" ht="28.15">
      <c r="A189" s="262" t="s">
        <v>272</v>
      </c>
      <c r="B189" s="271" t="s">
        <v>328</v>
      </c>
      <c r="C189" s="264" t="str">
        <f>VLOOKUP(Table4[[#This Row],[Rīcības kods]],Rīcibas_plans!$B$4:$D$234,3,FALSE)</f>
        <v>Pieeja pie Daugavas, "Kaļķīši" (Ģipšustūris), Katlakalns</v>
      </c>
      <c r="D189" s="265" t="e">
        <f>VLOOKUP($A189,'Pivot rīcības un objekti'!$A$4:$U$193,21,FALSE)</f>
        <v>#N/A</v>
      </c>
      <c r="E189" s="265" t="e">
        <f>VLOOKUP($A189,'Pivot rīcības un objekti'!$A$4:$U$193,E$9,FALSE)</f>
        <v>#N/A</v>
      </c>
      <c r="F189" s="265" t="e">
        <f>VLOOKUP($A189,'Pivot rīcības un objekti'!$A$4:$U$193,F$9,FALSE)</f>
        <v>#N/A</v>
      </c>
      <c r="G189" s="265" t="e">
        <f>VLOOKUP($A189,'Pivot rīcības un objekti'!$A$4:$U$193,G$9,FALSE)</f>
        <v>#N/A</v>
      </c>
      <c r="H189" s="265" t="e">
        <f>VLOOKUP($A189,'Pivot rīcības un objekti'!$A$4:$U$193,H$9,FALSE)</f>
        <v>#N/A</v>
      </c>
      <c r="I189" s="265" t="e">
        <f>VLOOKUP($A189,'Pivot rīcības un objekti'!$A$4:$U$192,I$9,FALSE)</f>
        <v>#N/A</v>
      </c>
      <c r="J189" s="265" t="e">
        <f>VLOOKUP($A189,'Pivot rīcības un objekti'!$A$4:$U$192,J$9,FALSE)</f>
        <v>#N/A</v>
      </c>
      <c r="K189" s="293">
        <f>VLOOKUP(Table4[[#This Row],[Rīcības kods]],'Pivot rīcības un objekti'!$A$4:$T$233,19,FALSE)</f>
        <v>95.833333333333329</v>
      </c>
      <c r="L189" s="265">
        <f>VLOOKUP(Table4[[#This Row],[Rīcības kods]],'Pivot rīcības un objekti'!$A$4:$F$232,6,FALSE)</f>
        <v>7</v>
      </c>
      <c r="M189" s="265">
        <f>VLOOKUP(Table4[[#This Row],[Rīcības kods]],'Pivot rīcības un objekti'!$A$4:$F$232,2,FALSE)</f>
        <v>7160</v>
      </c>
      <c r="N189" s="266">
        <f>Table4[[#This Row],[Izmaksas, EUR]]+N188</f>
        <v>20540845</v>
      </c>
      <c r="O189" s="268"/>
    </row>
    <row r="190" spans="1:15" ht="42">
      <c r="A190" s="262" t="s">
        <v>129</v>
      </c>
      <c r="B190" s="271" t="s">
        <v>334</v>
      </c>
      <c r="C190" s="264" t="str">
        <f>VLOOKUP(Table4[[#This Row],[Rīcības kods]],Rīcibas_plans!$B$4:$D$234,3,FALSE)</f>
        <v>Atpūtas vieta pie Rīgas HES dambja dienvidaustrumu pusē (HES apkalpes ceļa galā)</v>
      </c>
      <c r="D190" s="265">
        <f>VLOOKUP($A190,'Pivot rīcības un objekti'!$A$4:$U$193,21,FALSE)</f>
        <v>0</v>
      </c>
      <c r="E190" s="265">
        <f>VLOOKUP($A190,'Pivot rīcības un objekti'!$A$4:$U$193,E$9,FALSE)</f>
        <v>149</v>
      </c>
      <c r="F190" s="265">
        <f>VLOOKUP($A190,'Pivot rīcības un objekti'!$A$4:$U$193,F$9,FALSE)</f>
        <v>155</v>
      </c>
      <c r="G190" s="265">
        <f>VLOOKUP($A190,'Pivot rīcības un objekti'!$A$4:$U$193,G$9,FALSE)</f>
        <v>99</v>
      </c>
      <c r="H190" s="265">
        <f>VLOOKUP($A190,'Pivot rīcības un objekti'!$A$4:$U$193,H$9,FALSE)</f>
        <v>61</v>
      </c>
      <c r="I190" s="265">
        <f>VLOOKUP($A190,'Pivot rīcības un objekti'!$A$4:$U$192,I$9,FALSE)</f>
        <v>74</v>
      </c>
      <c r="J190" s="265">
        <f>VLOOKUP($A190,'Pivot rīcības un objekti'!$A$4:$U$192,J$9,FALSE)</f>
        <v>37</v>
      </c>
      <c r="K190" s="293">
        <f>VLOOKUP(Table4[[#This Row],[Rīcības kods]],'Pivot rīcības un objekti'!$A$4:$T$233,19,FALSE)</f>
        <v>95.833333333333329</v>
      </c>
      <c r="L190" s="265">
        <f>VLOOKUP(Table4[[#This Row],[Rīcības kods]],'Pivot rīcības un objekti'!$A$4:$F$232,6,FALSE)</f>
        <v>7</v>
      </c>
      <c r="M190" s="265">
        <f>VLOOKUP(Table4[[#This Row],[Rīcības kods]],'Pivot rīcības un objekti'!$A$4:$F$232,2,FALSE)</f>
        <v>7160</v>
      </c>
      <c r="N190" s="266">
        <f>Table4[[#This Row],[Izmaksas, EUR]]+N189</f>
        <v>20548005</v>
      </c>
      <c r="O190" s="267"/>
    </row>
    <row r="191" spans="1:15" ht="28.15">
      <c r="A191" s="262" t="s">
        <v>100</v>
      </c>
      <c r="B191" s="271" t="s">
        <v>293</v>
      </c>
      <c r="C191" s="264" t="str">
        <f>VLOOKUP(Table4[[#This Row],[Rīcības kods]],Rīcibas_plans!$B$4:$D$234,3,FALSE)</f>
        <v>Vanagkalnu estrādes teritorija, Vanagkalnu iela 50</v>
      </c>
      <c r="D191" s="265" t="str">
        <f>VLOOKUP($A191,'Pivot rīcības un objekti'!$A$4:$U$193,21,FALSE)</f>
        <v xml:space="preserve">Esošās infrastruktūras atjaunošana. </v>
      </c>
      <c r="E191" s="265">
        <f>VLOOKUP($A191,'Pivot rīcības un objekti'!$A$4:$U$193,E$9,FALSE)</f>
        <v>40</v>
      </c>
      <c r="F191" s="265">
        <f>VLOOKUP($A191,'Pivot rīcības un objekti'!$A$4:$U$193,F$9,FALSE)</f>
        <v>184</v>
      </c>
      <c r="G191" s="265">
        <f>VLOOKUP($A191,'Pivot rīcības un objekti'!$A$4:$U$193,G$9,FALSE)</f>
        <v>124</v>
      </c>
      <c r="H191" s="265">
        <f>VLOOKUP($A191,'Pivot rīcības un objekti'!$A$4:$U$193,H$9,FALSE)</f>
        <v>1</v>
      </c>
      <c r="I191" s="265">
        <f>VLOOKUP($A191,'Pivot rīcības un objekti'!$A$4:$U$192,I$9,FALSE)</f>
        <v>8</v>
      </c>
      <c r="J191" s="265">
        <f>VLOOKUP($A191,'Pivot rīcības un objekti'!$A$4:$U$192,J$9,FALSE)</f>
        <v>4</v>
      </c>
      <c r="K191" s="293">
        <f>VLOOKUP(Table4[[#This Row],[Rīcības kods]],'Pivot rīcības un objekti'!$A$4:$T$233,19,FALSE)</f>
        <v>60.166666666666664</v>
      </c>
      <c r="L191" s="265">
        <f>VLOOKUP(Table4[[#This Row],[Rīcības kods]],'Pivot rīcības un objekti'!$A$4:$F$232,6,FALSE)</f>
        <v>7</v>
      </c>
      <c r="M191" s="265">
        <f>VLOOKUP(Table4[[#This Row],[Rīcības kods]],'Pivot rīcības un objekti'!$A$4:$F$232,2,FALSE)</f>
        <v>50</v>
      </c>
      <c r="N191" s="266">
        <f>Table4[[#This Row],[Izmaksas, EUR]]+N190</f>
        <v>20548055</v>
      </c>
      <c r="O191" s="268"/>
    </row>
    <row r="192" spans="1:15" ht="42">
      <c r="A192" s="262" t="s">
        <v>181</v>
      </c>
      <c r="B192" s="271" t="s">
        <v>326</v>
      </c>
      <c r="C192" s="264" t="str">
        <f>VLOOKUP(Table4[[#This Row],[Rīcības kods]],Rīcibas_plans!$B$4:$D$234,3,FALSE)</f>
        <v>Odukalns ūdenstornis, ``Odiņš``, Odukalns, Ķekavas pag., Ķekavas nov.,</v>
      </c>
      <c r="D192" s="265" t="str">
        <f>VLOOKUP($A192,'Pivot rīcības un objekti'!$A$4:$U$193,21,FALSE)</f>
        <v xml:space="preserve">Odukalna torņa un apkārtējās teritorijas pārbūve </v>
      </c>
      <c r="E192" s="265">
        <f>VLOOKUP($A192,'Pivot rīcības un objekti'!$A$4:$U$193,E$9,FALSE)</f>
        <v>149</v>
      </c>
      <c r="F192" s="265">
        <f>VLOOKUP($A192,'Pivot rīcības un objekti'!$A$4:$U$193,F$9,FALSE)</f>
        <v>134</v>
      </c>
      <c r="G192" s="265">
        <f>VLOOKUP($A192,'Pivot rīcības un objekti'!$A$4:$U$193,G$9,FALSE)</f>
        <v>107</v>
      </c>
      <c r="H192" s="265">
        <f>VLOOKUP($A192,'Pivot rīcības un objekti'!$A$4:$U$193,H$9,FALSE)</f>
        <v>75</v>
      </c>
      <c r="I192" s="265">
        <f>VLOOKUP($A192,'Pivot rīcības un objekti'!$A$4:$U$192,I$9,FALSE)</f>
        <v>73</v>
      </c>
      <c r="J192" s="265">
        <f>VLOOKUP($A192,'Pivot rīcības un objekti'!$A$4:$U$192,J$9,FALSE)</f>
        <v>51</v>
      </c>
      <c r="K192" s="293">
        <f>VLOOKUP(Table4[[#This Row],[Rīcības kods]],'Pivot rīcības un objekti'!$A$4:$T$233,19,FALSE)</f>
        <v>98.166666666666671</v>
      </c>
      <c r="L192" s="265">
        <f>VLOOKUP(Table4[[#This Row],[Rīcības kods]],'Pivot rīcības un objekti'!$A$4:$F$232,6,FALSE)</f>
        <v>7</v>
      </c>
      <c r="M192" s="265">
        <f>VLOOKUP(Table4[[#This Row],[Rīcības kods]],'Pivot rīcības un objekti'!$A$4:$F$232,2,FALSE)</f>
        <v>10000</v>
      </c>
      <c r="N192" s="266">
        <f>Table4[[#This Row],[Izmaksas, EUR]]+N191</f>
        <v>20558055</v>
      </c>
      <c r="O192" s="267"/>
    </row>
    <row r="193" spans="1:15" ht="28.15">
      <c r="A193" s="262" t="s">
        <v>265</v>
      </c>
      <c r="B193" s="271" t="s">
        <v>325</v>
      </c>
      <c r="C193" s="264" t="str">
        <f>VLOOKUP(Table4[[#This Row],[Rīcības kods]],Rīcibas_plans!$B$4:$D$234,3,FALSE)</f>
        <v>Mazās Rāmavas ielas gājēju un velosipēdistu infrastruktūra</v>
      </c>
      <c r="D193" s="265" t="e">
        <f>VLOOKUP($A193,'Pivot rīcības un objekti'!$A$4:$U$193,21,FALSE)</f>
        <v>#N/A</v>
      </c>
      <c r="E193" s="265" t="e">
        <f>VLOOKUP($A193,'Pivot rīcības un objekti'!$A$4:$U$193,E$9,FALSE)</f>
        <v>#N/A</v>
      </c>
      <c r="F193" s="265" t="e">
        <f>VLOOKUP($A193,'Pivot rīcības un objekti'!$A$4:$U$193,F$9,FALSE)</f>
        <v>#N/A</v>
      </c>
      <c r="G193" s="265" t="e">
        <f>VLOOKUP($A193,'Pivot rīcības un objekti'!$A$4:$U$193,G$9,FALSE)</f>
        <v>#N/A</v>
      </c>
      <c r="H193" s="265" t="e">
        <f>VLOOKUP($A193,'Pivot rīcības un objekti'!$A$4:$U$193,H$9,FALSE)</f>
        <v>#N/A</v>
      </c>
      <c r="I193" s="265" t="e">
        <f>VLOOKUP($A193,'Pivot rīcības un objekti'!$A$4:$U$192,I$9,FALSE)</f>
        <v>#N/A</v>
      </c>
      <c r="J193" s="265" t="e">
        <f>VLOOKUP($A193,'Pivot rīcības un objekti'!$A$4:$U$192,J$9,FALSE)</f>
        <v>#N/A</v>
      </c>
      <c r="K193" s="293">
        <f>VLOOKUP(Table4[[#This Row],[Rīcības kods]],'Pivot rīcības un objekti'!$A$4:$T$233,19,FALSE)</f>
        <v>98.5</v>
      </c>
      <c r="L193" s="265">
        <f>VLOOKUP(Table4[[#This Row],[Rīcības kods]],'Pivot rīcības un objekti'!$A$4:$F$232,6,FALSE)</f>
        <v>7</v>
      </c>
      <c r="M193" s="265">
        <f>VLOOKUP(Table4[[#This Row],[Rīcības kods]],'Pivot rīcības un objekti'!$A$4:$F$232,2,FALSE)</f>
        <v>8295</v>
      </c>
      <c r="N193" s="266">
        <f>Table4[[#This Row],[Izmaksas, EUR]]+N192</f>
        <v>20566350</v>
      </c>
      <c r="O193" s="268"/>
    </row>
    <row r="194" spans="1:15" ht="27" customHeight="1">
      <c r="A194" s="262" t="s">
        <v>124</v>
      </c>
      <c r="B194" s="271" t="s">
        <v>308</v>
      </c>
      <c r="C194" s="264" t="str">
        <f>VLOOKUP(Table4[[#This Row],[Rīcības kods]],Rīcibas_plans!$B$4:$D$234,3,FALSE)</f>
        <v>Daugmales pilskalns</v>
      </c>
      <c r="D194" s="265" t="str">
        <f>VLOOKUP($A194,'Pivot rīcības un objekti'!$A$4:$U$193,21,FALSE)</f>
        <v>Pieejamības uzlabošana  ierīkojot gājēju ceļu tīklu un  lietisķās atpūtas vietas (L tipa pie "ieejas zonas" un S tipa pārējā teritorijā)</v>
      </c>
      <c r="E194" s="265">
        <f>VLOOKUP($A194,'Pivot rīcības un objekti'!$A$4:$U$193,E$9,FALSE)</f>
        <v>64</v>
      </c>
      <c r="F194" s="265">
        <f>VLOOKUP($A194,'Pivot rīcības un objekti'!$A$4:$U$193,F$9,FALSE)</f>
        <v>165</v>
      </c>
      <c r="G194" s="265">
        <f>VLOOKUP($A194,'Pivot rīcības un objekti'!$A$4:$U$193,G$9,FALSE)</f>
        <v>172</v>
      </c>
      <c r="H194" s="265">
        <f>VLOOKUP($A194,'Pivot rīcības un objekti'!$A$4:$U$193,H$9,FALSE)</f>
        <v>24</v>
      </c>
      <c r="I194" s="265">
        <f>VLOOKUP($A194,'Pivot rīcības un objekti'!$A$4:$U$192,I$9,FALSE)</f>
        <v>86</v>
      </c>
      <c r="J194" s="265">
        <f>VLOOKUP($A194,'Pivot rīcības un objekti'!$A$4:$U$192,J$9,FALSE)</f>
        <v>85</v>
      </c>
      <c r="K194" s="293">
        <f>VLOOKUP(Table4[[#This Row],[Rīcības kods]],'Pivot rīcības un objekti'!$A$4:$T$233,19,FALSE)</f>
        <v>99.333333333333329</v>
      </c>
      <c r="L194" s="265">
        <f>VLOOKUP(Table4[[#This Row],[Rīcības kods]],'Pivot rīcības un objekti'!$A$4:$F$232,6,FALSE)</f>
        <v>7</v>
      </c>
      <c r="M194" s="265">
        <f>VLOOKUP(Table4[[#This Row],[Rīcības kods]],'Pivot rīcības un objekti'!$A$4:$F$232,2,FALSE)</f>
        <v>6300</v>
      </c>
      <c r="N194" s="266">
        <f>Table4[[#This Row],[Izmaksas, EUR]]+N193</f>
        <v>20572650</v>
      </c>
      <c r="O194" s="267"/>
    </row>
    <row r="195" spans="1:15" ht="31.15" customHeight="1">
      <c r="A195" s="262" t="s">
        <v>198</v>
      </c>
      <c r="B195" s="271" t="s">
        <v>324</v>
      </c>
      <c r="C195" s="264" t="str">
        <f>VLOOKUP(Table4[[#This Row],[Rīcības kods]],Rīcibas_plans!$B$4:$D$234,3,FALSE)</f>
        <v>Pļavu ielas lietišķais labiekārtojums</v>
      </c>
      <c r="D195" s="265" t="str">
        <f>VLOOKUP($A195,'Pivot rīcības un objekti'!$A$4:$U$193,21,FALSE)</f>
        <v>Ietves izbūve no  A7 līdz  Rīgas HES. Izvietot lietišķās atpūtas vietas (S tips).</v>
      </c>
      <c r="E195" s="265">
        <f>VLOOKUP($A195,'Pivot rīcības un objekti'!$A$4:$U$193,E$9,FALSE)</f>
        <v>140</v>
      </c>
      <c r="F195" s="265">
        <f>VLOOKUP($A195,'Pivot rīcības un objekti'!$A$4:$U$193,F$9,FALSE)</f>
        <v>112</v>
      </c>
      <c r="G195" s="265">
        <f>VLOOKUP($A195,'Pivot rīcības un objekti'!$A$4:$U$193,G$9,FALSE)</f>
        <v>146</v>
      </c>
      <c r="H195" s="265">
        <f>VLOOKUP($A195,'Pivot rīcības un objekti'!$A$4:$U$193,H$9,FALSE)</f>
        <v>71</v>
      </c>
      <c r="I195" s="265">
        <f>VLOOKUP($A195,'Pivot rīcības un objekti'!$A$4:$U$192,I$9,FALSE)</f>
        <v>54</v>
      </c>
      <c r="J195" s="265">
        <f>VLOOKUP($A195,'Pivot rīcības un objekti'!$A$4:$U$192,J$9,FALSE)</f>
        <v>76</v>
      </c>
      <c r="K195" s="293">
        <f>VLOOKUP(Table4[[#This Row],[Rīcības kods]],'Pivot rīcības un objekti'!$A$4:$T$233,19,FALSE)</f>
        <v>99.833333333333329</v>
      </c>
      <c r="L195" s="265">
        <f>VLOOKUP(Table4[[#This Row],[Rīcības kods]],'Pivot rīcības un objekti'!$A$4:$F$232,6,FALSE)</f>
        <v>7</v>
      </c>
      <c r="M195" s="265">
        <f>VLOOKUP(Table4[[#This Row],[Rīcības kods]],'Pivot rīcības un objekti'!$A$4:$F$232,2,FALSE)</f>
        <v>11060</v>
      </c>
      <c r="N195" s="266">
        <f>Table4[[#This Row],[Izmaksas, EUR]]+N194</f>
        <v>20583710</v>
      </c>
      <c r="O195" s="269"/>
    </row>
    <row r="196" spans="1:15" ht="42">
      <c r="A196" s="262" t="s">
        <v>135</v>
      </c>
      <c r="B196" s="271" t="s">
        <v>308</v>
      </c>
      <c r="C196" s="264" t="str">
        <f>VLOOKUP(Table4[[#This Row],[Rīcības kods]],Rīcibas_plans!$B$4:$D$234,3,FALSE)</f>
        <v xml:space="preserve">Potenciālas atpūtas vietas pie pludmales "Pie Bēgļu ceļa" izveide (kad. nr. 80560020435) </v>
      </c>
      <c r="D196" s="265" t="str">
        <f>VLOOKUP($A196,'Pivot rīcības un objekti'!$A$4:$U$193,21,FALSE)</f>
        <v>Ķikutu atpūtas vietas pie ūdens  ierīkošana un uzturēšana</v>
      </c>
      <c r="E196" s="265">
        <f>VLOOKUP($A196,'Pivot rīcības un objekti'!$A$4:$U$193,E$9,FALSE)</f>
        <v>140</v>
      </c>
      <c r="F196" s="265">
        <f>VLOOKUP($A196,'Pivot rīcības un objekti'!$A$4:$U$193,F$9,FALSE)</f>
        <v>163</v>
      </c>
      <c r="G196" s="265">
        <f>VLOOKUP($A196,'Pivot rīcības un objekti'!$A$4:$U$193,G$9,FALSE)</f>
        <v>119</v>
      </c>
      <c r="H196" s="265">
        <f>VLOOKUP($A196,'Pivot rīcības un objekti'!$A$4:$U$193,H$9,FALSE)</f>
        <v>58</v>
      </c>
      <c r="I196" s="265">
        <f>VLOOKUP($A196,'Pivot rīcības un objekti'!$A$4:$U$192,I$9,FALSE)</f>
        <v>82</v>
      </c>
      <c r="J196" s="265">
        <f>VLOOKUP($A196,'Pivot rīcības un objekti'!$A$4:$U$192,J$9,FALSE)</f>
        <v>44</v>
      </c>
      <c r="K196" s="293">
        <f>VLOOKUP(Table4[[#This Row],[Rīcības kods]],'Pivot rīcības un objekti'!$A$4:$T$233,19,FALSE)</f>
        <v>101</v>
      </c>
      <c r="L196" s="265">
        <f>VLOOKUP(Table4[[#This Row],[Rīcības kods]],'Pivot rīcības un objekti'!$A$4:$F$232,6,FALSE)</f>
        <v>7</v>
      </c>
      <c r="M196" s="266">
        <f>VLOOKUP(Table4[[#This Row],[Rīcības kods]],'Pivot rīcības un objekti'!$A$4:$F$232,2,FALSE)</f>
        <v>7160</v>
      </c>
      <c r="N196" s="266">
        <f>Table4[[#This Row],[Izmaksas, EUR]]+N195</f>
        <v>20590870</v>
      </c>
      <c r="O196" s="268"/>
    </row>
    <row r="197" spans="1:15" ht="38.450000000000003" customHeight="1">
      <c r="A197" s="262" t="s">
        <v>87</v>
      </c>
      <c r="B197" s="271" t="s">
        <v>293</v>
      </c>
      <c r="C197" s="264" t="str">
        <f>VLOOKUP(Table4[[#This Row],[Rīcības kods]],Rīcibas_plans!$B$4:$D$234,3,FALSE)</f>
        <v>Baltās pils parks un teritorija, Daugavas iela 23, Baldone</v>
      </c>
      <c r="D197" s="265" t="str">
        <f>VLOOKUP($A197,'Pivot rīcības un objekti'!$A$4:$U$193,21,FALSE)</f>
        <v>Saskaņotu labiekārtojuma elementu izvietošana. Segumu atjaunošana. Ceļu struktūras izbūve uz gājēju tiltiņu. Kokaugu stādījumu papildināšana blakus parka teritorijā. Aktīvās atpūtas infrastruktūras elementu un segumu atjaunošana.</v>
      </c>
      <c r="E197" s="265">
        <f>VLOOKUP($A197,'Pivot rīcības un objekti'!$A$4:$U$193,E$9,FALSE)</f>
        <v>93</v>
      </c>
      <c r="F197" s="265">
        <f>VLOOKUP($A197,'Pivot rīcības un objekti'!$A$4:$U$193,F$9,FALSE)</f>
        <v>66</v>
      </c>
      <c r="G197" s="265">
        <f>VLOOKUP($A197,'Pivot rīcības un objekti'!$A$4:$U$193,G$9,FALSE)</f>
        <v>42</v>
      </c>
      <c r="H197" s="265">
        <f>VLOOKUP($A197,'Pivot rīcības un objekti'!$A$4:$U$193,H$9,FALSE)</f>
        <v>169</v>
      </c>
      <c r="I197" s="265">
        <f>VLOOKUP($A197,'Pivot rīcības un objekti'!$A$4:$U$192,I$9,FALSE)</f>
        <v>140</v>
      </c>
      <c r="J197" s="265">
        <f>VLOOKUP($A197,'Pivot rīcības un objekti'!$A$4:$U$192,J$9,FALSE)</f>
        <v>132</v>
      </c>
      <c r="K197" s="293">
        <f>VLOOKUP(Table4[[#This Row],[Rīcības kods]],'Pivot rīcības un objekti'!$A$4:$T$233,19,FALSE)</f>
        <v>107</v>
      </c>
      <c r="L197" s="265">
        <f>VLOOKUP(Table4[[#This Row],[Rīcības kods]],'Pivot rīcības un objekti'!$A$4:$F$232,6,FALSE)</f>
        <v>7</v>
      </c>
      <c r="M197" s="265">
        <f>VLOOKUP(Table4[[#This Row],[Rīcības kods]],'Pivot rīcības un objekti'!$A$4:$F$232,2,FALSE)</f>
        <v>500000</v>
      </c>
      <c r="N197" s="266">
        <f>Table4[[#This Row],[Izmaksas, EUR]]+N196</f>
        <v>21090870</v>
      </c>
      <c r="O197" s="267"/>
    </row>
    <row r="198" spans="1:15" ht="39.6" customHeight="1">
      <c r="A198" s="272" t="s">
        <v>216</v>
      </c>
      <c r="B198" s="271" t="s">
        <v>324</v>
      </c>
      <c r="C198" s="273" t="str">
        <f>VLOOKUP(Table4[[#This Row],[Rīcības kods]],Rīcibas_plans!$B$4:$D$234,3,FALSE)</f>
        <v xml:space="preserve">Apstādījumu izveide gar  A7 (Rīga-Bauska-Lietuvas robeža) veloceļu.  </v>
      </c>
      <c r="D198" s="274" t="str">
        <f>VLOOKUP($A198,'Pivot rīcības un objekti'!$A$4:$U$193,21,FALSE)</f>
        <v>Apstādījumu atjaunošana gar izbūvēto veloceļu posmā , kur izcirtsas egles veloceļa būvniecības laikā</v>
      </c>
      <c r="E198" s="274">
        <f>VLOOKUP($A198,'Pivot rīcības un objekti'!$A$4:$U$193,E$9,FALSE)</f>
        <v>149</v>
      </c>
      <c r="F198" s="274">
        <f>VLOOKUP($A198,'Pivot rīcības un objekti'!$A$4:$U$193,F$9,FALSE)</f>
        <v>121</v>
      </c>
      <c r="G198" s="274">
        <f>VLOOKUP($A198,'Pivot rīcības un objekti'!$A$4:$U$193,G$9,FALSE)</f>
        <v>163</v>
      </c>
      <c r="H198" s="274">
        <f>VLOOKUP($A198,'Pivot rīcības un objekti'!$A$4:$U$193,H$9,FALSE)</f>
        <v>74</v>
      </c>
      <c r="I198" s="274">
        <f>VLOOKUP($A198,'Pivot rīcības un objekti'!$A$4:$U$192,I$9,FALSE)</f>
        <v>59</v>
      </c>
      <c r="J198" s="274">
        <f>VLOOKUP($A198,'Pivot rīcības un objekti'!$A$4:$U$192,J$9,FALSE)</f>
        <v>95</v>
      </c>
      <c r="K198" s="293">
        <f>VLOOKUP(Table4[[#This Row],[Rīcības kods]],'Pivot rīcības un objekti'!$A$4:$T$233,19,FALSE)</f>
        <v>110.16666666666667</v>
      </c>
      <c r="L198" s="274">
        <f>VLOOKUP(Table4[[#This Row],[Rīcības kods]],'Pivot rīcības un objekti'!$A$4:$F$232,6,FALSE)</f>
        <v>7</v>
      </c>
      <c r="M198" s="274">
        <f>VLOOKUP(Table4[[#This Row],[Rīcības kods]],'Pivot rīcības un objekti'!$A$4:$F$232,2,FALSE)</f>
        <v>9750</v>
      </c>
      <c r="N198" s="266">
        <f>Table4[[#This Row],[Izmaksas, EUR]]+N197</f>
        <v>21100620</v>
      </c>
      <c r="O198" s="268"/>
    </row>
    <row r="199" spans="1:15" ht="39.6" customHeight="1">
      <c r="A199" s="262" t="s">
        <v>98</v>
      </c>
      <c r="B199" s="271" t="s">
        <v>293</v>
      </c>
      <c r="C199" s="264" t="str">
        <f>VLOOKUP(Table4[[#This Row],[Rīcības kods]],Rīcibas_plans!$B$4:$D$234,3,FALSE)</f>
        <v>Ceriņu iela 1 teritorija (aiz pirmsskolas iestādes)</v>
      </c>
      <c r="D199" s="265" t="str">
        <f>VLOOKUP($A199,'Pivot rīcības un objekti'!$A$4:$U$193,21,FALSE)</f>
        <v>Potenciāla labiekārtotas zaļās teritorijas attīstība, lietišķās atpūta vietas, gājēju ceļu struktūra, kokaugi Automašīnu stāvvietas.</v>
      </c>
      <c r="E199" s="265">
        <f>VLOOKUP($A199,'Pivot rīcības un objekti'!$A$4:$U$193,E$9,FALSE)</f>
        <v>93</v>
      </c>
      <c r="F199" s="265">
        <f>VLOOKUP($A199,'Pivot rīcības un objekti'!$A$4:$U$193,F$9,FALSE)</f>
        <v>77</v>
      </c>
      <c r="G199" s="265">
        <f>VLOOKUP($A199,'Pivot rīcības un objekti'!$A$4:$U$193,G$9,FALSE)</f>
        <v>65</v>
      </c>
      <c r="H199" s="265">
        <f>VLOOKUP($A199,'Pivot rīcības un objekti'!$A$4:$U$193,H$9,FALSE)</f>
        <v>155</v>
      </c>
      <c r="I199" s="265">
        <f>VLOOKUP($A199,'Pivot rīcības un objekti'!$A$4:$U$192,I$9,FALSE)</f>
        <v>135</v>
      </c>
      <c r="J199" s="265">
        <f>VLOOKUP($A199,'Pivot rīcības un objekti'!$A$4:$U$192,J$9,FALSE)</f>
        <v>132</v>
      </c>
      <c r="K199" s="293">
        <f>VLOOKUP(Table4[[#This Row],[Rīcības kods]],'Pivot rīcības un objekti'!$A$4:$T$233,19,FALSE)</f>
        <v>109.5</v>
      </c>
      <c r="L199" s="265">
        <f>VLOOKUP(Table4[[#This Row],[Rīcības kods]],'Pivot rīcības un objekti'!$A$4:$F$232,6,FALSE)</f>
        <v>7</v>
      </c>
      <c r="M199" s="265">
        <f>VLOOKUP(Table4[[#This Row],[Rīcības kods]],'Pivot rīcības un objekti'!$A$4:$F$232,2,FALSE)</f>
        <v>300000</v>
      </c>
      <c r="N199" s="266">
        <f>Table4[[#This Row],[Izmaksas, EUR]]+N198</f>
        <v>21400620</v>
      </c>
      <c r="O199" s="276"/>
    </row>
    <row r="200" spans="1:15" ht="39.6" customHeight="1">
      <c r="A200" s="262" t="s">
        <v>230</v>
      </c>
      <c r="B200" s="271" t="s">
        <v>324</v>
      </c>
      <c r="C200" s="264" t="str">
        <f>VLOOKUP(Table4[[#This Row],[Rīcības kods]],Rīcibas_plans!$B$4:$D$234,3,FALSE)</f>
        <v>Ķekavas parka ZK-daļa, Gaismas iela 1C,</v>
      </c>
      <c r="D200" s="265" t="str">
        <f>VLOOKUP($A200,'Pivot rīcības un objekti'!$A$4:$U$193,21,FALSE)</f>
        <v>Gājēju ceļu izbūve un lietišķās atpūtas vietu labiekārtošana (S un M tipa). Uzlabot pieejamību pie Brāļu kapu teritorijas (uzkalniņa). Izvērtēt skatu atvēršanu no Brāļu kapu kalniņa</v>
      </c>
      <c r="E200" s="265">
        <f>VLOOKUP($A200,'Pivot rīcības un objekti'!$A$4:$U$193,E$9,FALSE)</f>
        <v>26</v>
      </c>
      <c r="F200" s="265">
        <f>VLOOKUP($A200,'Pivot rīcības un objekti'!$A$4:$U$193,F$9,FALSE)</f>
        <v>95</v>
      </c>
      <c r="G200" s="265">
        <f>VLOOKUP($A200,'Pivot rīcības un objekti'!$A$4:$U$193,G$9,FALSE)</f>
        <v>86</v>
      </c>
      <c r="H200" s="265">
        <f>VLOOKUP($A200,'Pivot rīcības un objekti'!$A$4:$U$193,H$9,FALSE)</f>
        <v>147</v>
      </c>
      <c r="I200" s="265">
        <f>VLOOKUP($A200,'Pivot rīcības un objekti'!$A$4:$U$192,I$9,FALSE)</f>
        <v>174</v>
      </c>
      <c r="J200" s="265">
        <f>VLOOKUP($A200,'Pivot rīcības un objekti'!$A$4:$U$192,J$9,FALSE)</f>
        <v>176</v>
      </c>
      <c r="K200" s="293">
        <f>VLOOKUP(Table4[[#This Row],[Rīcības kods]],'Pivot rīcības un objekti'!$A$4:$T$233,19,FALSE)</f>
        <v>117.33333333333333</v>
      </c>
      <c r="L200" s="265">
        <f>VLOOKUP(Table4[[#This Row],[Rīcības kods]],'Pivot rīcības un objekti'!$A$4:$F$232,6,FALSE)</f>
        <v>7</v>
      </c>
      <c r="M200" s="265">
        <f>VLOOKUP(Table4[[#This Row],[Rīcības kods]],'Pivot rīcības un objekti'!$A$4:$F$232,2,FALSE)</f>
        <v>1100000</v>
      </c>
      <c r="N200" s="266">
        <f>Table4[[#This Row],[Izmaksas, EUR]]+N199</f>
        <v>22500620</v>
      </c>
      <c r="O200" s="296"/>
    </row>
    <row r="201" spans="1:15" ht="42">
      <c r="A201" s="262" t="s">
        <v>273</v>
      </c>
      <c r="B201" s="271" t="s">
        <v>325</v>
      </c>
      <c r="C201" s="264" t="str">
        <f>VLOOKUP(Table4[[#This Row],[Rīcības kods]],Rīcibas_plans!$B$4:$D$234,3,FALSE)</f>
        <v>Vēju ielas atpūtas vieta pie ūdens, “Ziedonis” (pie Vēju ielas), Katlakalns</v>
      </c>
      <c r="D201" s="265" t="e">
        <f>VLOOKUP($A201,'Pivot rīcības un objekti'!$A$4:$U$193,21,FALSE)</f>
        <v>#N/A</v>
      </c>
      <c r="E201" s="265" t="e">
        <f>VLOOKUP($A201,'Pivot rīcības un objekti'!$A$4:$U$193,E$9,FALSE)</f>
        <v>#N/A</v>
      </c>
      <c r="F201" s="265" t="e">
        <f>VLOOKUP($A201,'Pivot rīcības un objekti'!$A$4:$U$193,F$9,FALSE)</f>
        <v>#N/A</v>
      </c>
      <c r="G201" s="265" t="e">
        <f>VLOOKUP($A201,'Pivot rīcības un objekti'!$A$4:$U$193,G$9,FALSE)</f>
        <v>#N/A</v>
      </c>
      <c r="H201" s="265" t="e">
        <f>VLOOKUP($A201,'Pivot rīcības un objekti'!$A$4:$U$193,H$9,FALSE)</f>
        <v>#N/A</v>
      </c>
      <c r="I201" s="265" t="e">
        <f>VLOOKUP($A201,'Pivot rīcības un objekti'!$A$4:$U$192,I$9,FALSE)</f>
        <v>#N/A</v>
      </c>
      <c r="J201" s="265" t="e">
        <f>VLOOKUP($A201,'Pivot rīcības un objekti'!$A$4:$U$192,J$9,FALSE)</f>
        <v>#N/A</v>
      </c>
      <c r="K201" s="293">
        <f>VLOOKUP(Table4[[#This Row],[Rīcības kods]],'Pivot rīcības un objekti'!$A$4:$T$233,19,FALSE)</f>
        <v>122.5</v>
      </c>
      <c r="L201" s="265">
        <f>VLOOKUP(Table4[[#This Row],[Rīcības kods]],'Pivot rīcības un objekti'!$A$4:$F$232,6,FALSE)</f>
        <v>7</v>
      </c>
      <c r="M201" s="265">
        <f>VLOOKUP(Table4[[#This Row],[Rīcības kods]],'Pivot rīcības un objekti'!$A$4:$F$232,2,FALSE)</f>
        <v>21480000</v>
      </c>
      <c r="N201" s="266">
        <f>Table4[[#This Row],[Izmaksas, EUR]]+N200</f>
        <v>43980620</v>
      </c>
      <c r="O201" s="276"/>
    </row>
    <row r="202" spans="1:15" ht="32.450000000000003" customHeight="1">
      <c r="A202" s="262" t="s">
        <v>132</v>
      </c>
      <c r="B202" s="271" t="s">
        <v>329</v>
      </c>
      <c r="C202" s="264" t="str">
        <f>VLOOKUP(Table4[[#This Row],[Rīcības kods]],Rīcibas_plans!$B$4:$D$234,3,FALSE)</f>
        <v>Pašvaldības īpašums "Vedmeri", Senču svētkalniņš. Vedmeru parks</v>
      </c>
      <c r="D202" s="265" t="str">
        <f>VLOOKUP($A202,'Pivot rīcības un objekti'!$A$4:$U$193,21,FALSE)</f>
        <v>Gājēju ceļu tīkls, gar ceļiem S tipa lietišķās atpūtas vietas, piknika vietas/skatu vietas (L tipa lietišķās atpūtas vieta). Nepieciešama pameža tīrīšana 10 m no gājēju ceļa ass.</v>
      </c>
      <c r="E202" s="265">
        <f>VLOOKUP($A202,'Pivot rīcības un objekti'!$A$4:$U$193,E$9,FALSE)</f>
        <v>55</v>
      </c>
      <c r="F202" s="265">
        <f>VLOOKUP($A202,'Pivot rīcības un objekti'!$A$4:$U$193,F$9,FALSE)</f>
        <v>134</v>
      </c>
      <c r="G202" s="265">
        <f>VLOOKUP($A202,'Pivot rīcības un objekti'!$A$4:$U$193,G$9,FALSE)</f>
        <v>56</v>
      </c>
      <c r="H202" s="265">
        <f>VLOOKUP($A202,'Pivot rīcības un objekti'!$A$4:$U$193,H$9,FALSE)</f>
        <v>159</v>
      </c>
      <c r="I202" s="265">
        <f>VLOOKUP($A202,'Pivot rīcības un objekti'!$A$4:$U$192,I$9,FALSE)</f>
        <v>179</v>
      </c>
      <c r="J202" s="265">
        <f>VLOOKUP($A202,'Pivot rīcības un objekti'!$A$4:$U$192,J$9,FALSE)</f>
        <v>154</v>
      </c>
      <c r="K202" s="293">
        <f>VLOOKUP(Table4[[#This Row],[Rīcības kods]],'Pivot rīcības un objekti'!$A$4:$T$233,19,FALSE)</f>
        <v>122.83333333333333</v>
      </c>
      <c r="L202" s="265">
        <f>VLOOKUP(Table4[[#This Row],[Rīcības kods]],'Pivot rīcības un objekti'!$A$4:$F$232,6,FALSE)</f>
        <v>7</v>
      </c>
      <c r="M202" s="265">
        <f>VLOOKUP(Table4[[#This Row],[Rīcības kods]],'Pivot rīcības un objekti'!$A$4:$F$232,2,FALSE)</f>
        <v>800000</v>
      </c>
      <c r="N202" s="266">
        <f>Table4[[#This Row],[Izmaksas, EUR]]+N201</f>
        <v>44780620</v>
      </c>
      <c r="O202" s="296"/>
    </row>
    <row r="203" spans="1:15" ht="21" customHeight="1">
      <c r="A203" s="262" t="s">
        <v>163</v>
      </c>
      <c r="B203" s="271" t="s">
        <v>331</v>
      </c>
      <c r="C203" s="264" t="str">
        <f>VLOOKUP(Table4[[#This Row],[Rīcības kods]],Rīcibas_plans!$B$4:$D$234,3,FALSE)</f>
        <v>Atpūtas vieta pie Misas upes</v>
      </c>
      <c r="D203" s="265" t="str">
        <f>VLOOKUP($A203,'Pivot rīcības un objekti'!$A$4:$U$193,21,FALSE)</f>
        <v>Labiekārtotas atpūtas vietas pie ūdens izveide. Krasta sakopšana. Labiekārtojuma elemetnu izbūve (soliņi, atkritumu urnas, velosipēdu statīvi)</v>
      </c>
      <c r="E203" s="265">
        <f>VLOOKUP($A203,'Pivot rīcības un objekti'!$A$4:$U$193,E$9,FALSE)</f>
        <v>177</v>
      </c>
      <c r="F203" s="265">
        <f>VLOOKUP($A203,'Pivot rīcības un objekti'!$A$4:$U$193,F$9,FALSE)</f>
        <v>186</v>
      </c>
      <c r="G203" s="265">
        <f>VLOOKUP($A203,'Pivot rīcības un objekti'!$A$4:$U$193,G$9,FALSE)</f>
        <v>145</v>
      </c>
      <c r="H203" s="265">
        <f>VLOOKUP($A203,'Pivot rīcības un objekti'!$A$4:$U$193,H$9,FALSE)</f>
        <v>79</v>
      </c>
      <c r="I203" s="265">
        <f>VLOOKUP($A203,'Pivot rīcības un objekti'!$A$4:$U$192,I$9,FALSE)</f>
        <v>101</v>
      </c>
      <c r="J203" s="265">
        <f>VLOOKUP($A203,'Pivot rīcības un objekti'!$A$4:$U$192,J$9,FALSE)</f>
        <v>59</v>
      </c>
      <c r="K203" s="293">
        <f>VLOOKUP(Table4[[#This Row],[Rīcības kods]],'Pivot rīcības un objekti'!$A$4:$T$233,19,FALSE)</f>
        <v>124.5</v>
      </c>
      <c r="L203" s="265">
        <f>VLOOKUP(Table4[[#This Row],[Rīcības kods]],'Pivot rīcības un objekti'!$A$4:$F$232,6,FALSE)</f>
        <v>7</v>
      </c>
      <c r="M203" s="266">
        <f>VLOOKUP(Table4[[#This Row],[Rīcības kods]],'Pivot rīcības un objekti'!$A$4:$F$232,2,FALSE)</f>
        <v>7160</v>
      </c>
      <c r="N203" s="266">
        <f>Table4[[#This Row],[Izmaksas, EUR]]+N202</f>
        <v>44787780</v>
      </c>
      <c r="O203" s="276"/>
    </row>
    <row r="204" spans="1:15" ht="35.450000000000003" customHeight="1">
      <c r="A204" s="262" t="s">
        <v>85</v>
      </c>
      <c r="B204" s="271" t="s">
        <v>293</v>
      </c>
      <c r="C204" s="264" t="str">
        <f>VLOOKUP(Table4[[#This Row],[Rīcības kods]],Rīcibas_plans!$B$4:$D$234,3,FALSE)</f>
        <v>Bērnu rotaļu laukums "Zīļuks" pie Atvaru ielas</v>
      </c>
      <c r="D204" s="265" t="str">
        <f>VLOOKUP($A204,'Pivot rīcības un objekti'!$A$4:$U$193,21,FALSE)</f>
        <v>Lietišķās atpūtas vietas (soliņi ar atzveltnēm, atkritumu urnas). Funkcionāla gājēju ceļu struktūra un seguma uzlabošana</v>
      </c>
      <c r="E204" s="265">
        <f>VLOOKUP($A204,'Pivot rīcības un objekti'!$A$4:$U$193,E$9,FALSE)</f>
        <v>173</v>
      </c>
      <c r="F204" s="265">
        <f>VLOOKUP($A204,'Pivot rīcības un objekti'!$A$4:$U$193,F$9,FALSE)</f>
        <v>151</v>
      </c>
      <c r="G204" s="265">
        <f>VLOOKUP($A204,'Pivot rīcības un objekti'!$A$4:$U$193,G$9,FALSE)</f>
        <v>127</v>
      </c>
      <c r="H204" s="265">
        <f>VLOOKUP($A204,'Pivot rīcības un objekti'!$A$4:$U$193,H$9,FALSE)</f>
        <v>108</v>
      </c>
      <c r="I204" s="265">
        <f>VLOOKUP($A204,'Pivot rīcības un objekti'!$A$4:$U$192,I$9,FALSE)</f>
        <v>103</v>
      </c>
      <c r="J204" s="265">
        <f>VLOOKUP($A204,'Pivot rīcības un objekti'!$A$4:$U$192,J$9,FALSE)</f>
        <v>94</v>
      </c>
      <c r="K204" s="293">
        <f>VLOOKUP(Table4[[#This Row],[Rīcības kods]],'Pivot rīcības un objekti'!$A$4:$T$233,19,FALSE)</f>
        <v>126</v>
      </c>
      <c r="L204" s="265">
        <f>VLOOKUP(Table4[[#This Row],[Rīcības kods]],'Pivot rīcības un objekti'!$A$4:$F$232,6,FALSE)</f>
        <v>7</v>
      </c>
      <c r="M204" s="265">
        <f>VLOOKUP(Table4[[#This Row],[Rīcības kods]],'Pivot rīcības un objekti'!$A$4:$F$232,2,FALSE)</f>
        <v>25000</v>
      </c>
      <c r="N204" s="266">
        <f>Table4[[#This Row],[Izmaksas, EUR]]+N203</f>
        <v>44812780</v>
      </c>
      <c r="O204" s="276"/>
    </row>
    <row r="205" spans="1:15" ht="41.45" customHeight="1">
      <c r="A205" s="262" t="s">
        <v>202</v>
      </c>
      <c r="B205" s="271" t="s">
        <v>324</v>
      </c>
      <c r="C205" s="264" t="str">
        <f>VLOOKUP(Table4[[#This Row],[Rīcības kods]],Rīcibas_plans!$B$4:$D$234,3,FALSE)</f>
        <v>Dārznieku ielas gājēju un velosipēdistu infrastruktūra</v>
      </c>
      <c r="D205" s="265" t="str">
        <f>VLOOKUP($A205,'Pivot rīcības un objekti'!$A$4:$U$193,21,FALSE)</f>
        <v>Apgaismotas ietves izbūve A7 līdz īpašumam Dārznieku iela 30 (80700083112)</v>
      </c>
      <c r="E205" s="265">
        <f>VLOOKUP($A205,'Pivot rīcības un objekti'!$A$4:$U$193,E$9,FALSE)</f>
        <v>64</v>
      </c>
      <c r="F205" s="265">
        <f>VLOOKUP($A205,'Pivot rīcības un objekti'!$A$4:$U$193,F$9,FALSE)</f>
        <v>151</v>
      </c>
      <c r="G205" s="265">
        <f>VLOOKUP($A205,'Pivot rīcības un objekti'!$A$4:$U$193,G$9,FALSE)</f>
        <v>86</v>
      </c>
      <c r="H205" s="265">
        <f>VLOOKUP($A205,'Pivot rīcības un objekti'!$A$4:$U$193,H$9,FALSE)</f>
        <v>144</v>
      </c>
      <c r="I205" s="265">
        <f>VLOOKUP($A205,'Pivot rīcības un objekti'!$A$4:$U$192,I$9,FALSE)</f>
        <v>170</v>
      </c>
      <c r="J205" s="265">
        <f>VLOOKUP($A205,'Pivot rīcības un objekti'!$A$4:$U$192,J$9,FALSE)</f>
        <v>152</v>
      </c>
      <c r="K205" s="293">
        <f>VLOOKUP(Table4[[#This Row],[Rīcības kods]],'Pivot rīcības un objekti'!$A$4:$T$233,19,FALSE)</f>
        <v>127.83333333333333</v>
      </c>
      <c r="L205" s="265">
        <f>VLOOKUP(Table4[[#This Row],[Rīcības kods]],'Pivot rīcības un objekti'!$A$4:$F$232,6,FALSE)</f>
        <v>7</v>
      </c>
      <c r="M205" s="265">
        <f>VLOOKUP(Table4[[#This Row],[Rīcības kods]],'Pivot rīcības un objekti'!$A$4:$F$232,2,FALSE)</f>
        <v>368500</v>
      </c>
      <c r="N205" s="266">
        <f>Table4[[#This Row],[Izmaksas, EUR]]+N204</f>
        <v>45181280</v>
      </c>
      <c r="O205" s="334"/>
    </row>
    <row r="206" spans="1:15" ht="28.15">
      <c r="A206" s="262" t="s">
        <v>264</v>
      </c>
      <c r="B206" s="271" t="s">
        <v>325</v>
      </c>
      <c r="C206" s="264" t="str">
        <f>VLOOKUP(Table4[[#This Row],[Rīcības kods]],Rīcibas_plans!$B$4:$D$234,3,FALSE)</f>
        <v>Mazās Rāmavas ielas gājēju un velosipēdistu infrastruktūra</v>
      </c>
      <c r="D206" s="265" t="e">
        <f>VLOOKUP($A206,'Pivot rīcības un objekti'!$A$4:$U$193,21,FALSE)</f>
        <v>#N/A</v>
      </c>
      <c r="E206" s="265" t="e">
        <f>VLOOKUP($A206,'Pivot rīcības un objekti'!$A$4:$U$193,E$9,FALSE)</f>
        <v>#N/A</v>
      </c>
      <c r="F206" s="265" t="e">
        <f>VLOOKUP($A206,'Pivot rīcības un objekti'!$A$4:$U$193,F$9,FALSE)</f>
        <v>#N/A</v>
      </c>
      <c r="G206" s="265" t="e">
        <f>VLOOKUP($A206,'Pivot rīcības un objekti'!$A$4:$U$193,G$9,FALSE)</f>
        <v>#N/A</v>
      </c>
      <c r="H206" s="265" t="e">
        <f>VLOOKUP($A206,'Pivot rīcības un objekti'!$A$4:$U$193,H$9,FALSE)</f>
        <v>#N/A</v>
      </c>
      <c r="I206" s="265" t="e">
        <f>VLOOKUP($A206,'Pivot rīcības un objekti'!$A$4:$U$192,I$9,FALSE)</f>
        <v>#N/A</v>
      </c>
      <c r="J206" s="265" t="e">
        <f>VLOOKUP($A206,'Pivot rīcības un objekti'!$A$4:$U$192,J$9,FALSE)</f>
        <v>#N/A</v>
      </c>
      <c r="K206" s="293">
        <f>VLOOKUP(Table4[[#This Row],[Rīcības kods]],'Pivot rīcības un objekti'!$A$4:$T$233,19,FALSE)</f>
        <v>128.66666666666666</v>
      </c>
      <c r="L206" s="265">
        <f>VLOOKUP(Table4[[#This Row],[Rīcības kods]],'Pivot rīcības un objekti'!$A$4:$F$232,6,FALSE)</f>
        <v>7</v>
      </c>
      <c r="M206" s="265">
        <f>VLOOKUP(Table4[[#This Row],[Rīcības kods]],'Pivot rīcības un objekti'!$A$4:$F$232,2,FALSE)</f>
        <v>368500</v>
      </c>
      <c r="N206" s="266">
        <f>Table4[[#This Row],[Izmaksas, EUR]]+N205</f>
        <v>45549780</v>
      </c>
      <c r="O206" s="296"/>
    </row>
    <row r="207" spans="1:15" ht="61.15" customHeight="1">
      <c r="A207" s="262" t="s">
        <v>134</v>
      </c>
      <c r="B207" s="271" t="s">
        <v>308</v>
      </c>
      <c r="C207" s="264" t="str">
        <f>VLOOKUP(Table4[[#This Row],[Rīcības kods]],Rīcibas_plans!$B$4:$D$234,3,FALSE)</f>
        <v>Potenciālās gājēju takas gar Daugavu Ķekava - Bērzmente pagarināšana līdz Daugmalei, atpūtas vietai pie ūdens pretī Nāvessalai (Ķīķerītis)</v>
      </c>
      <c r="D207" s="265" t="str">
        <f>VLOOKUP($A207,'Pivot rīcības un objekti'!$A$4:$U$193,21,FALSE)</f>
        <v>Nepieciešams izveidot aktīvās atpūtas infrastruktūru gar Daugavu, kas veicinātu iedzīvotāju veselību un tūrisma attīstību. Veidot risinājumu saistībā ar RailBaltic izveidi</v>
      </c>
      <c r="E207" s="265">
        <f>VLOOKUP($A207,'Pivot rīcības un objekti'!$A$4:$U$193,E$9,FALSE)</f>
        <v>134</v>
      </c>
      <c r="F207" s="265">
        <f>VLOOKUP($A207,'Pivot rīcības un objekti'!$A$4:$U$193,F$9,FALSE)</f>
        <v>128</v>
      </c>
      <c r="G207" s="265">
        <f>VLOOKUP($A207,'Pivot rīcības un objekti'!$A$4:$U$193,G$9,FALSE)</f>
        <v>63</v>
      </c>
      <c r="H207" s="265">
        <f>VLOOKUP($A207,'Pivot rīcības un objekti'!$A$4:$U$193,H$9,FALSE)</f>
        <v>168</v>
      </c>
      <c r="I207" s="265">
        <f>VLOOKUP($A207,'Pivot rīcības un objekti'!$A$4:$U$192,I$9,FALSE)</f>
        <v>155</v>
      </c>
      <c r="J207" s="265">
        <f>VLOOKUP($A207,'Pivot rīcības un objekti'!$A$4:$U$192,J$9,FALSE)</f>
        <v>125</v>
      </c>
      <c r="K207" s="293">
        <f>VLOOKUP(Table4[[#This Row],[Rīcības kods]],'Pivot rīcības un objekti'!$A$4:$T$233,19,FALSE)</f>
        <v>128.83333333333334</v>
      </c>
      <c r="L207" s="265">
        <f>VLOOKUP(Table4[[#This Row],[Rīcības kods]],'Pivot rīcības un objekti'!$A$4:$F$232,6,FALSE)</f>
        <v>7</v>
      </c>
      <c r="M207" s="266">
        <f>VLOOKUP(Table4[[#This Row],[Rīcības kods]],'Pivot rīcības un objekti'!$A$4:$F$232,2,FALSE)</f>
        <v>306600</v>
      </c>
      <c r="N207" s="266">
        <f>Table4[[#This Row],[Izmaksas, EUR]]+N206</f>
        <v>45856380</v>
      </c>
      <c r="O207" s="276"/>
    </row>
    <row r="208" spans="1:15" ht="46.15" customHeight="1">
      <c r="A208" s="262" t="s">
        <v>157</v>
      </c>
      <c r="B208" s="271" t="s">
        <v>308</v>
      </c>
      <c r="C208" s="264" t="str">
        <f>VLOOKUP(Table4[[#This Row],[Rīcības kods]],Rīcibas_plans!$B$4:$D$234,3,FALSE)</f>
        <v>Gājēju ietve un velo infrastruktūra  no Vedmeru ceļa līdz Daugmales centram.</v>
      </c>
      <c r="D208" s="265" t="str">
        <f>VLOOKUP($A208,'Pivot rīcības un objekti'!$A$4:$U$193,21,FALSE)</f>
        <v xml:space="preserve">Pieejamības uzlabošana ierīkojot gājēju ceļu tīklu, kāpnes pie objekta "Važu rāvējs". Potenciāla vieta kāzu ceremoniju rīkošanā </v>
      </c>
      <c r="E208" s="265">
        <f>VLOOKUP($A208,'Pivot rīcības un objekti'!$A$4:$U$193,E$9,FALSE)</f>
        <v>93</v>
      </c>
      <c r="F208" s="265">
        <f>VLOOKUP($A208,'Pivot rīcības un objekti'!$A$4:$U$193,F$9,FALSE)</f>
        <v>95</v>
      </c>
      <c r="G208" s="265">
        <f>VLOOKUP($A208,'Pivot rīcības un objekti'!$A$4:$U$193,G$9,FALSE)</f>
        <v>99</v>
      </c>
      <c r="H208" s="265">
        <f>VLOOKUP($A208,'Pivot rīcības un objekti'!$A$4:$U$193,H$9,FALSE)</f>
        <v>173</v>
      </c>
      <c r="I208" s="265">
        <f>VLOOKUP($A208,'Pivot rīcības un objekti'!$A$4:$U$192,I$9,FALSE)</f>
        <v>161</v>
      </c>
      <c r="J208" s="265">
        <f>VLOOKUP($A208,'Pivot rīcības un objekti'!$A$4:$U$192,J$9,FALSE)</f>
        <v>172</v>
      </c>
      <c r="K208" s="293">
        <f>VLOOKUP(Table4[[#This Row],[Rīcības kods]],'Pivot rīcības un objekti'!$A$4:$T$233,19,FALSE)</f>
        <v>132.16666666666666</v>
      </c>
      <c r="L208" s="265">
        <f>VLOOKUP(Table4[[#This Row],[Rīcības kods]],'Pivot rīcības un objekti'!$A$4:$F$232,6,FALSE)</f>
        <v>7</v>
      </c>
      <c r="M208" s="265">
        <f>VLOOKUP(Table4[[#This Row],[Rīcības kods]],'Pivot rīcības un objekti'!$A$4:$F$232,2,FALSE)</f>
        <v>550000</v>
      </c>
      <c r="N208" s="266">
        <f>Table4[[#This Row],[Izmaksas, EUR]]+N207</f>
        <v>46406380</v>
      </c>
      <c r="O208" s="276"/>
    </row>
    <row r="209" spans="1:15" ht="22.9" customHeight="1">
      <c r="A209" s="262" t="s">
        <v>197</v>
      </c>
      <c r="B209" s="271" t="s">
        <v>324</v>
      </c>
      <c r="C209" s="264" t="str">
        <f>VLOOKUP(Table4[[#This Row],[Rīcības kods]],Rīcibas_plans!$B$4:$D$234,3,FALSE)</f>
        <v>Pļavu ielas gājēju infrastruktūra</v>
      </c>
      <c r="D209" s="265" t="str">
        <f>VLOOKUP($A209,'Pivot rīcības un objekti'!$A$4:$U$193,21,FALSE)</f>
        <v>Ietves izbūve no  A7 līdz  Rīgas HES. Izvietot lietišķās atpūtas vietas (S tips).</v>
      </c>
      <c r="E209" s="265">
        <f>VLOOKUP($A209,'Pivot rīcības un objekti'!$A$4:$U$193,E$9,FALSE)</f>
        <v>140</v>
      </c>
      <c r="F209" s="265">
        <f>VLOOKUP($A209,'Pivot rīcības un objekti'!$A$4:$U$193,F$9,FALSE)</f>
        <v>112</v>
      </c>
      <c r="G209" s="265">
        <f>VLOOKUP($A209,'Pivot rīcības un objekti'!$A$4:$U$193,G$9,FALSE)</f>
        <v>46</v>
      </c>
      <c r="H209" s="265">
        <f>VLOOKUP($A209,'Pivot rīcības un objekti'!$A$4:$U$193,H$9,FALSE)</f>
        <v>191</v>
      </c>
      <c r="I209" s="265">
        <f>VLOOKUP($A209,'Pivot rīcības un objekti'!$A$4:$U$192,I$9,FALSE)</f>
        <v>176</v>
      </c>
      <c r="J209" s="265">
        <f>VLOOKUP($A209,'Pivot rīcības un objekti'!$A$4:$U$192,J$9,FALSE)</f>
        <v>157</v>
      </c>
      <c r="K209" s="293">
        <f>VLOOKUP(Table4[[#This Row],[Rīcības kods]],'Pivot rīcības un objekti'!$A$4:$T$233,19,FALSE)</f>
        <v>137</v>
      </c>
      <c r="L209" s="265">
        <f>VLOOKUP(Table4[[#This Row],[Rīcības kods]],'Pivot rīcības un objekti'!$A$4:$F$232,6,FALSE)</f>
        <v>7</v>
      </c>
      <c r="M209" s="265">
        <f>VLOOKUP(Table4[[#This Row],[Rīcības kods]],'Pivot rīcības un objekti'!$A$4:$F$232,2,FALSE)</f>
        <v>1100000</v>
      </c>
      <c r="N209" s="266">
        <f>Table4[[#This Row],[Izmaksas, EUR]]+N208</f>
        <v>47506380</v>
      </c>
      <c r="O209" s="296"/>
    </row>
    <row r="210" spans="1:15" ht="25.9" customHeight="1">
      <c r="A210" s="262" t="s">
        <v>172</v>
      </c>
      <c r="B210" s="271" t="s">
        <v>345</v>
      </c>
      <c r="C210" s="264" t="str">
        <f>VLOOKUP(Table4[[#This Row],[Rīcības kods]],Rīcibas_plans!$B$4:$D$234,3,FALSE)</f>
        <v>Mols pie Daugavas, Zvejnieku iela 8</v>
      </c>
      <c r="D210" s="265" t="str">
        <f>VLOOKUP($A210,'Pivot rīcības un objekti'!$A$4:$U$193,21,FALSE)</f>
        <v>Gājēju ceļu izbūve, pieejamības uzlabošana.Savienojumi ar citām rekreācijas teritorijām</v>
      </c>
      <c r="E210" s="265">
        <f>VLOOKUP($A210,'Pivot rīcības un objekti'!$A$4:$U$193,E$9,FALSE)</f>
        <v>186</v>
      </c>
      <c r="F210" s="265">
        <f>VLOOKUP($A210,'Pivot rīcības un objekti'!$A$4:$U$193,F$9,FALSE)</f>
        <v>216</v>
      </c>
      <c r="G210" s="265">
        <f>VLOOKUP($A210,'Pivot rīcības un objekti'!$A$4:$U$193,G$9,FALSE)</f>
        <v>228</v>
      </c>
      <c r="H210" s="265">
        <f>VLOOKUP($A210,'Pivot rīcības un objekti'!$A$4:$U$193,H$9,FALSE)</f>
        <v>10</v>
      </c>
      <c r="I210" s="265">
        <f>VLOOKUP($A210,'Pivot rīcības un objekti'!$A$4:$U$192,I$9,FALSE)</f>
        <v>49</v>
      </c>
      <c r="J210" s="265">
        <f>VLOOKUP($A210,'Pivot rīcības un objekti'!$A$4:$U$192,J$9,FALSE)</f>
        <v>151</v>
      </c>
      <c r="K210" s="293">
        <f>VLOOKUP(Table4[[#This Row],[Rīcības kods]],'Pivot rīcības un objekti'!$A$4:$T$233,19,FALSE)</f>
        <v>140</v>
      </c>
      <c r="L210" s="265">
        <f>VLOOKUP(Table4[[#This Row],[Rīcības kods]],'Pivot rīcības un objekti'!$A$4:$F$232,6,FALSE)</f>
        <v>7</v>
      </c>
      <c r="M210" s="265">
        <f>VLOOKUP(Table4[[#This Row],[Rīcības kods]],'Pivot rīcības un objekti'!$A$4:$F$232,2,FALSE)</f>
        <v>180</v>
      </c>
      <c r="N210" s="266">
        <f>Table4[[#This Row],[Izmaksas, EUR]]+N209</f>
        <v>47506560</v>
      </c>
      <c r="O210" s="296"/>
    </row>
    <row r="211" spans="1:15" ht="28.15" customHeight="1">
      <c r="A211" s="262" t="s">
        <v>131</v>
      </c>
      <c r="B211" s="271" t="s">
        <v>308</v>
      </c>
      <c r="C211" s="264" t="str">
        <f>VLOOKUP(Table4[[#This Row],[Rīcības kods]],Rīcibas_plans!$B$4:$D$234,3,FALSE)</f>
        <v xml:space="preserve">Laivošanas maršruts pa Daugavu apkārt Nāves salai  </v>
      </c>
      <c r="D211" s="265" t="str">
        <f>VLOOKUP($A211,'Pivot rīcības un objekti'!$A$4:$U$193,21,FALSE)</f>
        <v>Laivošanas maršruta izveide. Tīrīšana un uzturēšana</v>
      </c>
      <c r="E211" s="265">
        <f>VLOOKUP($A211,'Pivot rīcības un objekti'!$A$4:$U$193,E$9,FALSE)</f>
        <v>149</v>
      </c>
      <c r="F211" s="265">
        <f>VLOOKUP($A211,'Pivot rīcības un objekti'!$A$4:$U$193,F$9,FALSE)</f>
        <v>196</v>
      </c>
      <c r="G211" s="265">
        <f>VLOOKUP($A211,'Pivot rīcības un objekti'!$A$4:$U$193,G$9,FALSE)</f>
        <v>180</v>
      </c>
      <c r="H211" s="265">
        <f>VLOOKUP($A211,'Pivot rīcības un objekti'!$A$4:$U$193,H$9,FALSE)</f>
        <v>75</v>
      </c>
      <c r="I211" s="265">
        <f>VLOOKUP($A211,'Pivot rīcības un objekti'!$A$4:$U$192,I$9,FALSE)</f>
        <v>135</v>
      </c>
      <c r="J211" s="265">
        <f>VLOOKUP($A211,'Pivot rīcības un objekti'!$A$4:$U$192,J$9,FALSE)</f>
        <v>106</v>
      </c>
      <c r="K211" s="293">
        <f>VLOOKUP(Table4[[#This Row],[Rīcības kods]],'Pivot rīcības un objekti'!$A$4:$T$233,19,FALSE)</f>
        <v>140.16666666666666</v>
      </c>
      <c r="L211" s="265">
        <f>VLOOKUP(Table4[[#This Row],[Rīcības kods]],'Pivot rīcības un objekti'!$A$4:$F$232,6,FALSE)</f>
        <v>7</v>
      </c>
      <c r="M211" s="266">
        <f>VLOOKUP(Table4[[#This Row],[Rīcības kods]],'Pivot rīcības un objekti'!$A$4:$F$232,2,FALSE)</f>
        <v>10000</v>
      </c>
      <c r="N211" s="266">
        <f>Table4[[#This Row],[Izmaksas, EUR]]+N210</f>
        <v>47516560</v>
      </c>
      <c r="O211" s="276"/>
    </row>
    <row r="212" spans="1:15" ht="28.15">
      <c r="A212" s="262" t="s">
        <v>257</v>
      </c>
      <c r="B212" s="271" t="s">
        <v>325</v>
      </c>
      <c r="C212" s="264" t="str">
        <f>VLOOKUP(Table4[[#This Row],[Rīcības kods]],Rīcibas_plans!$B$4:$D$234,3,FALSE)</f>
        <v>Ķekavas pašvaldības īpašums "Rudzāji", Rāmava</v>
      </c>
      <c r="D212" s="265" t="e">
        <f>VLOOKUP($A212,'Pivot rīcības un objekti'!$A$4:$U$193,21,FALSE)</f>
        <v>#N/A</v>
      </c>
      <c r="E212" s="265" t="e">
        <f>VLOOKUP($A212,'Pivot rīcības un objekti'!$A$4:$U$193,E$9,FALSE)</f>
        <v>#N/A</v>
      </c>
      <c r="F212" s="265" t="e">
        <f>VLOOKUP($A212,'Pivot rīcības un objekti'!$A$4:$U$193,F$9,FALSE)</f>
        <v>#N/A</v>
      </c>
      <c r="G212" s="265" t="e">
        <f>VLOOKUP($A212,'Pivot rīcības un objekti'!$A$4:$U$193,G$9,FALSE)</f>
        <v>#N/A</v>
      </c>
      <c r="H212" s="265" t="e">
        <f>VLOOKUP($A212,'Pivot rīcības un objekti'!$A$4:$U$193,H$9,FALSE)</f>
        <v>#N/A</v>
      </c>
      <c r="I212" s="265" t="e">
        <f>VLOOKUP($A212,'Pivot rīcības un objekti'!$A$4:$U$192,I$9,FALSE)</f>
        <v>#N/A</v>
      </c>
      <c r="J212" s="265" t="e">
        <f>VLOOKUP($A212,'Pivot rīcības un objekti'!$A$4:$U$192,J$9,FALSE)</f>
        <v>#N/A</v>
      </c>
      <c r="K212" s="293">
        <f>VLOOKUP(Table4[[#This Row],[Rīcības kods]],'Pivot rīcības un objekti'!$A$4:$T$233,19,FALSE)</f>
        <v>141.33333333333334</v>
      </c>
      <c r="L212" s="265">
        <f>VLOOKUP(Table4[[#This Row],[Rīcības kods]],'Pivot rīcības un objekti'!$A$4:$F$232,6,FALSE)</f>
        <v>7</v>
      </c>
      <c r="M212" s="265">
        <f>VLOOKUP(Table4[[#This Row],[Rīcības kods]],'Pivot rīcības un objekti'!$A$4:$F$232,2,FALSE)</f>
        <v>500000</v>
      </c>
      <c r="N212" s="266">
        <f>Table4[[#This Row],[Izmaksas, EUR]]+N211</f>
        <v>48016560</v>
      </c>
      <c r="O212" s="276"/>
    </row>
    <row r="213" spans="1:15" ht="42">
      <c r="A213" s="262" t="s">
        <v>242</v>
      </c>
      <c r="B213" s="271" t="s">
        <v>346</v>
      </c>
      <c r="C213" s="264" t="str">
        <f>VLOOKUP(Table4[[#This Row],[Rīcības kods]],Rīcibas_plans!$B$4:$D$234,3,FALSE)</f>
        <v>Tilts pāri Titurgas upei starp zemes gabaliem Akmeņkaļu ielā 17 un Akmeņkaļu ielā 11, Alejās</v>
      </c>
      <c r="D213" s="265" t="e">
        <f>VLOOKUP($A213,'Pivot rīcības un objekti'!$A$4:$U$193,21,FALSE)</f>
        <v>#N/A</v>
      </c>
      <c r="E213" s="265" t="e">
        <f>VLOOKUP($A213,'Pivot rīcības un objekti'!$A$4:$U$193,E$9,FALSE)</f>
        <v>#N/A</v>
      </c>
      <c r="F213" s="265" t="e">
        <f>VLOOKUP($A213,'Pivot rīcības un objekti'!$A$4:$U$193,F$9,FALSE)</f>
        <v>#N/A</v>
      </c>
      <c r="G213" s="265" t="e">
        <f>VLOOKUP($A213,'Pivot rīcības un objekti'!$A$4:$U$193,G$9,FALSE)</f>
        <v>#N/A</v>
      </c>
      <c r="H213" s="265" t="e">
        <f>VLOOKUP($A213,'Pivot rīcības un objekti'!$A$4:$U$193,H$9,FALSE)</f>
        <v>#N/A</v>
      </c>
      <c r="I213" s="265" t="e">
        <f>VLOOKUP($A213,'Pivot rīcības un objekti'!$A$4:$U$192,I$9,FALSE)</f>
        <v>#N/A</v>
      </c>
      <c r="J213" s="265" t="e">
        <f>VLOOKUP($A213,'Pivot rīcības un objekti'!$A$4:$U$192,J$9,FALSE)</f>
        <v>#N/A</v>
      </c>
      <c r="K213" s="293">
        <f>VLOOKUP(Table4[[#This Row],[Rīcības kods]],'Pivot rīcības un objekti'!$A$4:$T$233,19,FALSE)</f>
        <v>143.5</v>
      </c>
      <c r="L213" s="265">
        <f>VLOOKUP(Table4[[#This Row],[Rīcības kods]],'Pivot rīcības un objekti'!$A$4:$F$232,6,FALSE)</f>
        <v>7</v>
      </c>
      <c r="M213" s="265">
        <f>VLOOKUP(Table4[[#This Row],[Rīcības kods]],'Pivot rīcības un objekti'!$A$4:$F$232,2,FALSE)</f>
        <v>7160</v>
      </c>
      <c r="N213" s="266">
        <f>Table4[[#This Row],[Izmaksas, EUR]]+N212</f>
        <v>48023720</v>
      </c>
      <c r="O213" s="276"/>
    </row>
    <row r="214" spans="1:15" ht="21.6" customHeight="1">
      <c r="A214" s="262" t="s">
        <v>63</v>
      </c>
      <c r="B214" s="271" t="s">
        <v>347</v>
      </c>
      <c r="C214" s="264" t="str">
        <f>VLOOKUP(Table4[[#This Row],[Rīcības kods]],Rīcibas_plans!$B$4:$D$234,3,FALSE)</f>
        <v>Zālītes ielas pārbūve</v>
      </c>
      <c r="D214" s="265" t="str">
        <f>VLOOKUP($A214,'Pivot rīcības un objekti'!$A$4:$U$193,21,FALSE)</f>
        <v>Esošā granrts seguma uzlabošana</v>
      </c>
      <c r="E214" s="265">
        <f>VLOOKUP($A214,'Pivot rīcības un objekti'!$A$4:$U$193,E$9,FALSE)</f>
        <v>149</v>
      </c>
      <c r="F214" s="265">
        <f>VLOOKUP($A214,'Pivot rīcības un objekti'!$A$4:$U$193,F$9,FALSE)</f>
        <v>134</v>
      </c>
      <c r="G214" s="265">
        <f>VLOOKUP($A214,'Pivot rīcības un objekti'!$A$4:$U$193,G$9,FALSE)</f>
        <v>135</v>
      </c>
      <c r="H214" s="265">
        <f>VLOOKUP($A214,'Pivot rīcības un objekti'!$A$4:$U$193,H$9,FALSE)</f>
        <v>150</v>
      </c>
      <c r="I214" s="265">
        <f>VLOOKUP($A214,'Pivot rīcības un objekti'!$A$4:$U$192,I$9,FALSE)</f>
        <v>144</v>
      </c>
      <c r="J214" s="265">
        <f>VLOOKUP($A214,'Pivot rīcības un objekti'!$A$4:$U$192,J$9,FALSE)</f>
        <v>148</v>
      </c>
      <c r="K214" s="293">
        <f>VLOOKUP(Table4[[#This Row],[Rīcības kods]],'Pivot rīcības un objekti'!$A$4:$T$233,19,FALSE)</f>
        <v>143.33333333333334</v>
      </c>
      <c r="L214" s="265">
        <f>VLOOKUP(Table4[[#This Row],[Rīcības kods]],'Pivot rīcības un objekti'!$A$4:$F$232,6,FALSE)</f>
        <v>7</v>
      </c>
      <c r="M214" s="265">
        <f>VLOOKUP(Table4[[#This Row],[Rīcības kods]],'Pivot rīcības un objekti'!$A$4:$F$232,2,FALSE)</f>
        <v>131400</v>
      </c>
      <c r="N214" s="266">
        <f>Table4[[#This Row],[Izmaksas, EUR]]+N213</f>
        <v>48155120</v>
      </c>
      <c r="O214" s="296"/>
    </row>
    <row r="215" spans="1:15" ht="36" customHeight="1">
      <c r="A215" s="262" t="s">
        <v>156</v>
      </c>
      <c r="B215" s="271" t="s">
        <v>329</v>
      </c>
      <c r="C215" s="264" t="str">
        <f>VLOOKUP(Table4[[#This Row],[Rīcības kods]],Rīcibas_plans!$B$4:$D$234,3,FALSE)</f>
        <v>Daugmales dīķa Z-daļas parks, "Vērmeles", Daugmale, pie Raģu ceļa</v>
      </c>
      <c r="D215" s="265" t="str">
        <f>VLOOKUP($A215,'Pivot rīcības un objekti'!$A$4:$U$193,21,FALSE)</f>
        <v>Gājēju ceļa tīkls, ērta gājēju pāreja pāri šosejai un  lietišķās atpūtas vietas (M tipa). Potenciāli arī aktīvās atpūtas vieta - bērnu rotaļu laukums - M vai L tipa.</v>
      </c>
      <c r="E215" s="265">
        <f>VLOOKUP($A215,'Pivot rīcības un objekti'!$A$4:$U$193,E$9,FALSE)</f>
        <v>149</v>
      </c>
      <c r="F215" s="265">
        <f>VLOOKUP($A215,'Pivot rīcības un objekti'!$A$4:$U$193,F$9,FALSE)</f>
        <v>134</v>
      </c>
      <c r="G215" s="265">
        <f>VLOOKUP($A215,'Pivot rīcības un objekti'!$A$4:$U$193,G$9,FALSE)</f>
        <v>107</v>
      </c>
      <c r="H215" s="265">
        <f>VLOOKUP($A215,'Pivot rīcības un objekti'!$A$4:$U$193,H$9,FALSE)</f>
        <v>169</v>
      </c>
      <c r="I215" s="265">
        <f>VLOOKUP($A215,'Pivot rīcības un objekti'!$A$4:$U$192,I$9,FALSE)</f>
        <v>159</v>
      </c>
      <c r="J215" s="265">
        <f>VLOOKUP($A215,'Pivot rīcības un objekti'!$A$4:$U$192,J$9,FALSE)</f>
        <v>153</v>
      </c>
      <c r="K215" s="293">
        <f>VLOOKUP(Table4[[#This Row],[Rīcības kods]],'Pivot rīcības un objekti'!$A$4:$T$233,19,FALSE)</f>
        <v>145.16666666666666</v>
      </c>
      <c r="L215" s="265">
        <f>VLOOKUP(Table4[[#This Row],[Rīcības kods]],'Pivot rīcības un objekti'!$A$4:$F$232,6,FALSE)</f>
        <v>7</v>
      </c>
      <c r="M215" s="265">
        <f>VLOOKUP(Table4[[#This Row],[Rīcības kods]],'Pivot rīcības un objekti'!$A$4:$F$232,2,FALSE)</f>
        <v>250000</v>
      </c>
      <c r="N215" s="266">
        <f>Table4[[#This Row],[Izmaksas, EUR]]+N214</f>
        <v>48405120</v>
      </c>
      <c r="O215" s="296"/>
    </row>
    <row r="216" spans="1:15" ht="28.15">
      <c r="A216" s="262" t="s">
        <v>245</v>
      </c>
      <c r="B216" s="271" t="s">
        <v>328</v>
      </c>
      <c r="C216" s="264" t="str">
        <f>VLOOKUP(Table4[[#This Row],[Rīcības kods]],Rīcibas_plans!$B$4:$D$234,3,FALSE)</f>
        <v>Ķekavas pašvaldības īpašums "Foreles"</v>
      </c>
      <c r="D216" s="265" t="e">
        <f>VLOOKUP($A216,'Pivot rīcības un objekti'!$A$4:$U$193,21,FALSE)</f>
        <v>#N/A</v>
      </c>
      <c r="E216" s="265" t="e">
        <f>VLOOKUP($A216,'Pivot rīcības un objekti'!$A$4:$U$193,E$9,FALSE)</f>
        <v>#N/A</v>
      </c>
      <c r="F216" s="265" t="e">
        <f>VLOOKUP($A216,'Pivot rīcības un objekti'!$A$4:$U$193,F$9,FALSE)</f>
        <v>#N/A</v>
      </c>
      <c r="G216" s="265" t="e">
        <f>VLOOKUP($A216,'Pivot rīcības un objekti'!$A$4:$U$193,G$9,FALSE)</f>
        <v>#N/A</v>
      </c>
      <c r="H216" s="265" t="e">
        <f>VLOOKUP($A216,'Pivot rīcības un objekti'!$A$4:$U$193,H$9,FALSE)</f>
        <v>#N/A</v>
      </c>
      <c r="I216" s="265" t="e">
        <f>VLOOKUP($A216,'Pivot rīcības un objekti'!$A$4:$U$192,I$9,FALSE)</f>
        <v>#N/A</v>
      </c>
      <c r="J216" s="265" t="e">
        <f>VLOOKUP($A216,'Pivot rīcības un objekti'!$A$4:$U$192,J$9,FALSE)</f>
        <v>#N/A</v>
      </c>
      <c r="K216" s="293">
        <f>VLOOKUP(Table4[[#This Row],[Rīcības kods]],'Pivot rīcības un objekti'!$A$4:$T$233,19,FALSE)</f>
        <v>145.83333333333334</v>
      </c>
      <c r="L216" s="265">
        <f>VLOOKUP(Table4[[#This Row],[Rīcības kods]],'Pivot rīcības un objekti'!$A$4:$F$232,6,FALSE)</f>
        <v>7</v>
      </c>
      <c r="M216" s="265">
        <f>VLOOKUP(Table4[[#This Row],[Rīcības kods]],'Pivot rīcības un objekti'!$A$4:$F$232,2,FALSE)</f>
        <v>216000</v>
      </c>
      <c r="N216" s="266">
        <f>Table4[[#This Row],[Izmaksas, EUR]]+N215</f>
        <v>48621120</v>
      </c>
      <c r="O216" s="276"/>
    </row>
    <row r="217" spans="1:15" ht="29.45" customHeight="1">
      <c r="A217" s="262" t="s">
        <v>105</v>
      </c>
      <c r="B217" s="271" t="s">
        <v>340</v>
      </c>
      <c r="C217" s="264" t="str">
        <f>VLOOKUP(Table4[[#This Row],[Rīcības kods]],Rīcibas_plans!$B$4:$D$234,3,FALSE)</f>
        <v>Pastaigu/ tūrisma maršruts Baldone- Daugmale</v>
      </c>
      <c r="D217" s="265" t="str">
        <f>VLOOKUP($A217,'Pivot rīcības un objekti'!$A$4:$U$193,21,FALSE)</f>
        <v>Gājēju takas marķējums, lietišķās atpūtas vietas, norādes</v>
      </c>
      <c r="E217" s="265">
        <f>VLOOKUP($A217,'Pivot rīcības un objekti'!$A$4:$U$193,E$9,FALSE)</f>
        <v>186</v>
      </c>
      <c r="F217" s="265">
        <f>VLOOKUP($A217,'Pivot rīcības un objekti'!$A$4:$U$193,F$9,FALSE)</f>
        <v>216</v>
      </c>
      <c r="G217" s="265">
        <f>VLOOKUP($A217,'Pivot rīcības un objekti'!$A$4:$U$193,G$9,FALSE)</f>
        <v>180</v>
      </c>
      <c r="H217" s="265" t="e">
        <f>VLOOKUP($A217,'Pivot rīcības un objekti'!$A$4:$U$193,H$9,FALSE)</f>
        <v>#VALUE!</v>
      </c>
      <c r="I217" s="265" t="e">
        <f>VLOOKUP($A217,'Pivot rīcības un objekti'!$A$4:$U$192,I$9,FALSE)</f>
        <v>#VALUE!</v>
      </c>
      <c r="J217" s="265" t="e">
        <f>VLOOKUP($A217,'Pivot rīcības un objekti'!$A$4:$U$192,J$9,FALSE)</f>
        <v>#VALUE!</v>
      </c>
      <c r="K217" s="293" t="e">
        <f>VLOOKUP(Table4[[#This Row],[Rīcības kods]],'Pivot rīcības un objekti'!$A$4:$T$233,19,FALSE)</f>
        <v>#VALUE!</v>
      </c>
      <c r="L217" s="265">
        <f>VLOOKUP(Table4[[#This Row],[Rīcības kods]],'Pivot rīcības un objekti'!$A$4:$F$232,6,FALSE)</f>
        <v>7</v>
      </c>
      <c r="M217" s="265">
        <f>VLOOKUP(Table4[[#This Row],[Rīcības kods]],'Pivot rīcības un objekti'!$A$4:$F$232,2,FALSE)</f>
        <v>0</v>
      </c>
      <c r="N217" s="266">
        <f>Table4[[#This Row],[Izmaksas, EUR]]+N216</f>
        <v>48621120</v>
      </c>
      <c r="O217" s="276"/>
    </row>
    <row r="218" spans="1:15" ht="58.9" customHeight="1">
      <c r="A218" s="262" t="s">
        <v>120</v>
      </c>
      <c r="B218" s="271" t="s">
        <v>329</v>
      </c>
      <c r="C218" s="264" t="str">
        <f>VLOOKUP(Table4[[#This Row],[Rīcības kods]],Rīcibas_plans!$B$4:$D$234,3,FALSE)</f>
        <v>Gājēju ietve un velo infrastruktūra no Daugmales centra līdz Bēgļu ceļam gar autoceļu P85 (Rīgas HES - Jaunjelgava)</v>
      </c>
      <c r="D218" s="265" t="str">
        <f>VLOOKUP($A218,'Pivot rīcības un objekti'!$A$4:$U$193,21,FALSE)</f>
        <v>Apgaismots  apvienotais gājēju un velosipēdu ceļš, apgaismots. Gājēju pārejas un savienojumi ar esošajām sabiedriskā transporta pieturām.</v>
      </c>
      <c r="E218" s="265">
        <f>VLOOKUP($A218,'Pivot rīcības un objekti'!$A$4:$U$193,E$9,FALSE)</f>
        <v>149</v>
      </c>
      <c r="F218" s="265">
        <f>VLOOKUP($A218,'Pivot rīcības un objekti'!$A$4:$U$193,F$9,FALSE)</f>
        <v>134</v>
      </c>
      <c r="G218" s="265">
        <f>VLOOKUP($A218,'Pivot rīcības un objekti'!$A$4:$U$193,G$9,FALSE)</f>
        <v>107</v>
      </c>
      <c r="H218" s="265">
        <f>VLOOKUP($A218,'Pivot rīcības un objekti'!$A$4:$U$193,H$9,FALSE)</f>
        <v>189</v>
      </c>
      <c r="I218" s="265">
        <f>VLOOKUP($A218,'Pivot rīcības un objekti'!$A$4:$U$192,I$9,FALSE)</f>
        <v>180</v>
      </c>
      <c r="J218" s="265">
        <f>VLOOKUP($A218,'Pivot rīcības un objekti'!$A$4:$U$192,J$9,FALSE)</f>
        <v>179</v>
      </c>
      <c r="K218" s="293">
        <f>VLOOKUP(Table4[[#This Row],[Rīcības kods]],'Pivot rīcības un objekti'!$A$4:$T$233,19,FALSE)</f>
        <v>156.33333333333334</v>
      </c>
      <c r="L218" s="265">
        <f>VLOOKUP(Table4[[#This Row],[Rīcības kods]],'Pivot rīcības un objekti'!$A$4:$F$232,6,FALSE)</f>
        <v>7</v>
      </c>
      <c r="M218" s="265">
        <f>VLOOKUP(Table4[[#This Row],[Rīcības kods]],'Pivot rīcības un objekti'!$A$4:$F$232,2,FALSE)</f>
        <v>825000</v>
      </c>
      <c r="N218" s="266">
        <f>Table4[[#This Row],[Izmaksas, EUR]]+N217</f>
        <v>49446120</v>
      </c>
      <c r="O218" s="276"/>
    </row>
    <row r="219" spans="1:15" ht="32.450000000000003" customHeight="1">
      <c r="A219" s="262" t="s">
        <v>101</v>
      </c>
      <c r="B219" s="271" t="s">
        <v>293</v>
      </c>
      <c r="C219" s="264" t="str">
        <f>VLOOKUP(Table4[[#This Row],[Rīcības kods]],Rīcibas_plans!$B$4:$D$234,3,FALSE)</f>
        <v>Vanagkalnu dabas parka teritorija</v>
      </c>
      <c r="D219" s="265" t="str">
        <f>VLOOKUP($A219,'Pivot rīcības un objekti'!$A$4:$U$193,21,FALSE)</f>
        <v>Potenciāla bērnu rotaļu laukuma izveide. Ceļu struktūra, lietišķās atpūtas vietas. Autostāvvietu izbūve</v>
      </c>
      <c r="E219" s="265">
        <f>VLOOKUP($A219,'Pivot rīcības un objekti'!$A$4:$U$193,E$9,FALSE)</f>
        <v>64</v>
      </c>
      <c r="F219" s="265">
        <f>VLOOKUP($A219,'Pivot rīcības un objekti'!$A$4:$U$193,F$9,FALSE)</f>
        <v>165</v>
      </c>
      <c r="G219" s="265">
        <f>VLOOKUP($A219,'Pivot rīcības un objekti'!$A$4:$U$193,G$9,FALSE)</f>
        <v>161</v>
      </c>
      <c r="H219" s="265">
        <f>VLOOKUP($A219,'Pivot rīcības un objekti'!$A$4:$U$193,H$9,FALSE)</f>
        <v>190</v>
      </c>
      <c r="I219" s="265">
        <f>VLOOKUP($A219,'Pivot rīcības un objekti'!$A$4:$U$192,I$9,FALSE)</f>
        <v>192</v>
      </c>
      <c r="J219" s="265">
        <f>VLOOKUP($A219,'Pivot rīcības un objekti'!$A$4:$U$192,J$9,FALSE)</f>
        <v>191</v>
      </c>
      <c r="K219" s="293">
        <f>VLOOKUP(Table4[[#This Row],[Rīcības kods]],'Pivot rīcības un objekti'!$A$4:$T$233,19,FALSE)</f>
        <v>160.5</v>
      </c>
      <c r="L219" s="265">
        <f>VLOOKUP(Table4[[#This Row],[Rīcības kods]],'Pivot rīcības un objekti'!$A$4:$F$232,6,FALSE)</f>
        <v>7</v>
      </c>
      <c r="M219" s="265">
        <f>VLOOKUP(Table4[[#This Row],[Rīcības kods]],'Pivot rīcības un objekti'!$A$4:$F$232,2,FALSE)</f>
        <v>3500000</v>
      </c>
      <c r="N219" s="266">
        <f>Table4[[#This Row],[Izmaksas, EUR]]+N218</f>
        <v>52946120</v>
      </c>
      <c r="O219" s="276"/>
    </row>
    <row r="220" spans="1:15" ht="33.6" customHeight="1">
      <c r="A220" s="262" t="s">
        <v>148</v>
      </c>
      <c r="B220" s="271" t="s">
        <v>308</v>
      </c>
      <c r="C220" s="264" t="str">
        <f>VLOOKUP(Table4[[#This Row],[Rīcības kods]],Rīcibas_plans!$B$4:$D$234,3,FALSE)</f>
        <v>Gājēju ietves izbūve - Pikstu ceļš</v>
      </c>
      <c r="D220" s="265" t="str">
        <f>VLOOKUP($A220,'Pivot rīcības un objekti'!$A$4:$U$193,21,FALSE)</f>
        <v>Infrastruktūras attīstība - augsta gājēju intensitāte visās sezonās, jo iedzīvotāji šo izmanto kā garāku pastaigu ceļu.</v>
      </c>
      <c r="E220" s="265">
        <f>VLOOKUP($A220,'Pivot rīcības un objekti'!$A$4:$U$193,E$9,FALSE)</f>
        <v>186</v>
      </c>
      <c r="F220" s="265">
        <f>VLOOKUP($A220,'Pivot rīcības un objekti'!$A$4:$U$193,F$9,FALSE)</f>
        <v>165</v>
      </c>
      <c r="G220" s="265">
        <f>VLOOKUP($A220,'Pivot rīcības un objekti'!$A$4:$U$193,G$9,FALSE)</f>
        <v>155</v>
      </c>
      <c r="H220" s="265">
        <f>VLOOKUP($A220,'Pivot rīcības un objekti'!$A$4:$U$193,H$9,FALSE)</f>
        <v>167</v>
      </c>
      <c r="I220" s="265">
        <f>VLOOKUP($A220,'Pivot rīcības un objekti'!$A$4:$U$192,I$9,FALSE)</f>
        <v>154</v>
      </c>
      <c r="J220" s="265">
        <f>VLOOKUP($A220,'Pivot rīcības un objekti'!$A$4:$U$192,J$9,FALSE)</f>
        <v>147</v>
      </c>
      <c r="K220" s="293">
        <f>VLOOKUP(Table4[[#This Row],[Rīcības kods]],'Pivot rīcības un objekti'!$A$4:$T$233,19,FALSE)</f>
        <v>162.33333333333334</v>
      </c>
      <c r="L220" s="265">
        <f>VLOOKUP(Table4[[#This Row],[Rīcības kods]],'Pivot rīcības un objekti'!$A$4:$F$232,6,FALSE)</f>
        <v>7</v>
      </c>
      <c r="M220" s="266">
        <f>VLOOKUP(Table4[[#This Row],[Rīcības kods]],'Pivot rīcības un objekti'!$A$4:$F$232,2,FALSE)</f>
        <v>84000</v>
      </c>
      <c r="N220" s="266">
        <f>Table4[[#This Row],[Izmaksas, EUR]]+N219</f>
        <v>53030120</v>
      </c>
      <c r="O220" s="276"/>
    </row>
    <row r="221" spans="1:15" ht="40.15" customHeight="1">
      <c r="A221" s="262" t="s">
        <v>149</v>
      </c>
      <c r="B221" s="271" t="s">
        <v>308</v>
      </c>
      <c r="C221" s="264" t="str">
        <f>VLOOKUP(Table4[[#This Row],[Rīcības kods]],Rīcibas_plans!$B$4:$D$234,3,FALSE)</f>
        <v>Gājēju ietves izbūve - Kompleksa  ceļš</v>
      </c>
      <c r="D221" s="265" t="str">
        <f>VLOOKUP($A221,'Pivot rīcības un objekti'!$A$4:$U$193,21,FALSE)</f>
        <v>Infrastruktūras attīstība - augsta gājēju intensitāte visās sezonās, jo iedzīvotāji šo izmanto kā garāku pastaigu ceļu.</v>
      </c>
      <c r="E221" s="265">
        <f>VLOOKUP($A221,'Pivot rīcības un objekti'!$A$4:$U$193,E$9,FALSE)</f>
        <v>186</v>
      </c>
      <c r="F221" s="265">
        <f>VLOOKUP($A221,'Pivot rīcības un objekti'!$A$4:$U$193,F$9,FALSE)</f>
        <v>165</v>
      </c>
      <c r="G221" s="265">
        <f>VLOOKUP($A221,'Pivot rīcības un objekti'!$A$4:$U$193,G$9,FALSE)</f>
        <v>155</v>
      </c>
      <c r="H221" s="265">
        <f>VLOOKUP($A221,'Pivot rīcības un objekti'!$A$4:$U$193,H$9,FALSE)</f>
        <v>178</v>
      </c>
      <c r="I221" s="265">
        <f>VLOOKUP($A221,'Pivot rīcības un objekti'!$A$4:$U$192,I$9,FALSE)</f>
        <v>165</v>
      </c>
      <c r="J221" s="265">
        <f>VLOOKUP($A221,'Pivot rīcības un objekti'!$A$4:$U$192,J$9,FALSE)</f>
        <v>161</v>
      </c>
      <c r="K221" s="293">
        <f>VLOOKUP(Table4[[#This Row],[Rīcības kods]],'Pivot rīcības un objekti'!$A$4:$T$233,19,FALSE)</f>
        <v>168.33333333333334</v>
      </c>
      <c r="L221" s="265">
        <f>VLOOKUP(Table4[[#This Row],[Rīcības kods]],'Pivot rīcības un objekti'!$A$4:$F$232,6,FALSE)</f>
        <v>7</v>
      </c>
      <c r="M221" s="266">
        <f>VLOOKUP(Table4[[#This Row],[Rīcības kods]],'Pivot rīcības un objekti'!$A$4:$F$232,2,FALSE)</f>
        <v>126000</v>
      </c>
      <c r="N221" s="266">
        <f>Table4[[#This Row],[Izmaksas, EUR]]+N220</f>
        <v>53156120</v>
      </c>
      <c r="O221" s="276"/>
    </row>
    <row r="222" spans="1:15" ht="42">
      <c r="A222" s="262" t="s">
        <v>139</v>
      </c>
      <c r="B222" s="271" t="s">
        <v>308</v>
      </c>
      <c r="C222" s="264" t="str">
        <f>VLOOKUP(Table4[[#This Row],[Rīcības kods]],Rīcibas_plans!$B$4:$D$234,3,FALSE)</f>
        <v>Aktīvās atpūtas parka izveide pie Daugmales multifunkcionālā centra (kad.nr 80560020583)</v>
      </c>
      <c r="D222" s="265" t="str">
        <f>VLOOKUP($A222,'Pivot rīcības un objekti'!$A$4:$U$193,21,FALSE)</f>
        <v xml:space="preserve">Izveidot parku, kurā iespējams gan estētiski, gan aktīvi atpūsties. </v>
      </c>
      <c r="E222" s="265">
        <f>VLOOKUP($A222,'Pivot rīcības un objekti'!$A$4:$U$193,E$9,FALSE)</f>
        <v>186</v>
      </c>
      <c r="F222" s="265">
        <f>VLOOKUP($A222,'Pivot rīcības un objekti'!$A$4:$U$193,F$9,FALSE)</f>
        <v>180</v>
      </c>
      <c r="G222" s="265">
        <f>VLOOKUP($A222,'Pivot rīcības un objekti'!$A$4:$U$193,G$9,FALSE)</f>
        <v>132</v>
      </c>
      <c r="H222" s="265">
        <f>VLOOKUP($A222,'Pivot rīcības un objekti'!$A$4:$U$193,H$9,FALSE)</f>
        <v>193</v>
      </c>
      <c r="I222" s="265">
        <f>VLOOKUP($A222,'Pivot rīcības un objekti'!$A$4:$U$192,I$9,FALSE)</f>
        <v>186</v>
      </c>
      <c r="J222" s="265">
        <f>VLOOKUP($A222,'Pivot rīcības un objekti'!$A$4:$U$192,J$9,FALSE)</f>
        <v>177</v>
      </c>
      <c r="K222" s="293">
        <f>VLOOKUP(Table4[[#This Row],[Rīcības kods]],'Pivot rīcības un objekti'!$A$4:$T$233,19,FALSE)</f>
        <v>175.66666666666666</v>
      </c>
      <c r="L222" s="265">
        <f>VLOOKUP(Table4[[#This Row],[Rīcības kods]],'Pivot rīcības un objekti'!$A$4:$F$232,6,FALSE)</f>
        <v>7</v>
      </c>
      <c r="M222" s="266">
        <f>VLOOKUP(Table4[[#This Row],[Rīcības kods]],'Pivot rīcības un objekti'!$A$4:$F$232,2,FALSE)</f>
        <v>500000</v>
      </c>
      <c r="N222" s="266">
        <f>Table4[[#This Row],[Izmaksas, EUR]]+N221</f>
        <v>53656120</v>
      </c>
      <c r="O222" s="276"/>
    </row>
    <row r="223" spans="1:15" ht="28.15">
      <c r="A223" s="262" t="s">
        <v>266</v>
      </c>
      <c r="B223" s="271" t="s">
        <v>325</v>
      </c>
      <c r="C223" s="264" t="str">
        <f>VLOOKUP(Table4[[#This Row],[Rīcības kods]],Rīcibas_plans!$B$4:$D$234,3,FALSE)</f>
        <v>Laivu piestātne autoceļa V2 (Valdlauči - Rāmava) galā</v>
      </c>
      <c r="D223" s="265" t="e">
        <f>VLOOKUP($A223,'Pivot rīcības un objekti'!$A$4:$U$193,21,FALSE)</f>
        <v>#N/A</v>
      </c>
      <c r="E223" s="265" t="e">
        <f>VLOOKUP($A223,'Pivot rīcības un objekti'!$A$4:$U$193,E$9,FALSE)</f>
        <v>#N/A</v>
      </c>
      <c r="F223" s="265" t="e">
        <f>VLOOKUP($A223,'Pivot rīcības un objekti'!$A$4:$U$193,F$9,FALSE)</f>
        <v>#N/A</v>
      </c>
      <c r="G223" s="265" t="e">
        <f>VLOOKUP($A223,'Pivot rīcības un objekti'!$A$4:$U$193,G$9,FALSE)</f>
        <v>#N/A</v>
      </c>
      <c r="H223" s="265" t="e">
        <f>VLOOKUP($A223,'Pivot rīcības un objekti'!$A$4:$U$193,H$9,FALSE)</f>
        <v>#N/A</v>
      </c>
      <c r="I223" s="265" t="e">
        <f>VLOOKUP($A223,'Pivot rīcības un objekti'!$A$4:$U$192,I$9,FALSE)</f>
        <v>#N/A</v>
      </c>
      <c r="J223" s="265" t="e">
        <f>VLOOKUP($A223,'Pivot rīcības un objekti'!$A$4:$U$192,J$9,FALSE)</f>
        <v>#N/A</v>
      </c>
      <c r="K223" s="293">
        <f>VLOOKUP(Table4[[#This Row],[Rīcības kods]],'Pivot rīcības un objekti'!$A$4:$T$233,19,FALSE)</f>
        <v>184</v>
      </c>
      <c r="L223" s="265">
        <f>VLOOKUP(Table4[[#This Row],[Rīcības kods]],'Pivot rīcības un objekti'!$A$4:$F$232,6,FALSE)</f>
        <v>7</v>
      </c>
      <c r="M223" s="266">
        <f>VLOOKUP(Table4[[#This Row],[Rīcības kods]],'Pivot rīcības un objekti'!$A$4:$F$232,2,FALSE)</f>
        <v>15000</v>
      </c>
      <c r="N223" s="266">
        <f>Table4[[#This Row],[Izmaksas, EUR]]+N222</f>
        <v>53671120</v>
      </c>
      <c r="O223" s="276"/>
    </row>
    <row r="224" spans="1:15" ht="52.15" customHeight="1">
      <c r="A224" s="262" t="s">
        <v>89</v>
      </c>
      <c r="B224" s="271" t="s">
        <v>293</v>
      </c>
      <c r="C224" s="264" t="str">
        <f>VLOOKUP(Table4[[#This Row],[Rīcības kods]],Rīcibas_plans!$B$4:$D$234,3,FALSE)</f>
        <v>Teritorija pie Baldones zīmes uz Rīgas un Saules ielas krustojuma (pie zemes gabala Rīgas ielā 20)</v>
      </c>
      <c r="D224" s="265" t="str">
        <f>VLOOKUP($A224,'Pivot rīcības un objekti'!$A$4:$U$193,21,FALSE)</f>
        <v xml:space="preserve">Potenciāla pastaigas, laipas taka līdz centra dīķim. Bērnu rotaļu laukums </v>
      </c>
      <c r="E224" s="265">
        <f>VLOOKUP($A224,'Pivot rīcības un objekti'!$A$4:$U$193,E$9,FALSE)</f>
        <v>149</v>
      </c>
      <c r="F224" s="265">
        <f>VLOOKUP($A224,'Pivot rīcības un objekti'!$A$4:$U$193,F$9,FALSE)</f>
        <v>196</v>
      </c>
      <c r="G224" s="265">
        <f>VLOOKUP($A224,'Pivot rīcības un objekti'!$A$4:$U$193,G$9,FALSE)</f>
        <v>200</v>
      </c>
      <c r="H224" s="265">
        <f>VLOOKUP($A224,'Pivot rīcības un objekti'!$A$4:$U$193,H$9,FALSE)</f>
        <v>187</v>
      </c>
      <c r="I224" s="265">
        <f>VLOOKUP($A224,'Pivot rīcības un objekti'!$A$4:$U$192,I$9,FALSE)</f>
        <v>190</v>
      </c>
      <c r="J224" s="265">
        <f>VLOOKUP($A224,'Pivot rīcības un objekti'!$A$4:$U$192,J$9,FALSE)</f>
        <v>190</v>
      </c>
      <c r="K224" s="293">
        <f>VLOOKUP(Table4[[#This Row],[Rīcības kods]],'Pivot rīcības un objekti'!$A$4:$T$233,19,FALSE)</f>
        <v>185.33333333333334</v>
      </c>
      <c r="L224" s="265">
        <f>VLOOKUP(Table4[[#This Row],[Rīcības kods]],'Pivot rīcības un objekti'!$A$4:$F$232,6,FALSE)</f>
        <v>7</v>
      </c>
      <c r="M224" s="265">
        <f>VLOOKUP(Table4[[#This Row],[Rīcības kods]],'Pivot rīcības un objekti'!$A$4:$F$232,2,FALSE)</f>
        <v>750000</v>
      </c>
      <c r="N224" s="266">
        <f>Table4[[#This Row],[Izmaksas, EUR]]+N223</f>
        <v>54421120</v>
      </c>
      <c r="O224" s="276"/>
    </row>
    <row r="225" spans="1:15" ht="28.15">
      <c r="A225" s="262" t="s">
        <v>210</v>
      </c>
      <c r="B225" s="271" t="s">
        <v>324</v>
      </c>
      <c r="C225" s="264" t="str">
        <f>VLOOKUP(Table4[[#This Row],[Rīcības kods]],Rīcibas_plans!$B$4:$D$234,3,FALSE)</f>
        <v>Laivu nolaišanas vieta Daugavā Upes ielas galā</v>
      </c>
      <c r="D225" s="265" t="str">
        <f>VLOOKUP($A225,'Pivot rīcības un objekti'!$A$4:$U$193,21,FALSE)</f>
        <v>Laivu nolaišanas vieta</v>
      </c>
      <c r="E225" s="265">
        <f>VLOOKUP($A225,'Pivot rīcības un objekti'!$A$4:$U$193,E$9,FALSE)</f>
        <v>202</v>
      </c>
      <c r="F225" s="265">
        <f>VLOOKUP($A225,'Pivot rīcības un objekti'!$A$4:$U$193,F$9,FALSE)</f>
        <v>224</v>
      </c>
      <c r="G225" s="265">
        <f>VLOOKUP($A225,'Pivot rīcības un objekti'!$A$4:$U$193,G$9,FALSE)</f>
        <v>217</v>
      </c>
      <c r="H225" s="265">
        <f>VLOOKUP($A225,'Pivot rīcības un objekti'!$A$4:$U$193,H$9,FALSE)</f>
        <v>122</v>
      </c>
      <c r="I225" s="265">
        <f>VLOOKUP($A225,'Pivot rīcības un objekti'!$A$4:$U$192,I$9,FALSE)</f>
        <v>182</v>
      </c>
      <c r="J225" s="265">
        <f>VLOOKUP($A225,'Pivot rīcības un objekti'!$A$4:$U$192,J$9,FALSE)</f>
        <v>180</v>
      </c>
      <c r="K225" s="293">
        <f>VLOOKUP(Table4[[#This Row],[Rīcības kods]],'Pivot rīcības un objekti'!$A$4:$T$233,19,FALSE)</f>
        <v>187.83333333333334</v>
      </c>
      <c r="L225" s="265">
        <f>VLOOKUP(Table4[[#This Row],[Rīcības kods]],'Pivot rīcības un objekti'!$A$4:$F$232,6,FALSE)</f>
        <v>7</v>
      </c>
      <c r="M225" s="265">
        <f>VLOOKUP(Table4[[#This Row],[Rīcības kods]],'Pivot rīcības un objekti'!$A$4:$F$232,2,FALSE)</f>
        <v>15000</v>
      </c>
      <c r="N225" s="266">
        <f>Table4[[#This Row],[Izmaksas, EUR]]+N224</f>
        <v>54436120</v>
      </c>
      <c r="O225" s="296"/>
    </row>
    <row r="226" spans="1:15" ht="28.15">
      <c r="A226" s="262" t="s">
        <v>268</v>
      </c>
      <c r="B226" s="271" t="s">
        <v>328</v>
      </c>
      <c r="C226" s="264" t="str">
        <f>VLOOKUP(Table4[[#This Row],[Rīcības kods]],Rīcibas_plans!$B$4:$D$234,3,FALSE)</f>
        <v>Laivu nolaišanas vieta Daugavā Ievu ielas galā</v>
      </c>
      <c r="D226" s="265" t="e">
        <f>VLOOKUP($A226,'Pivot rīcības un objekti'!$A$4:$U$193,21,FALSE)</f>
        <v>#N/A</v>
      </c>
      <c r="E226" s="265" t="e">
        <f>VLOOKUP($A226,'Pivot rīcības un objekti'!$A$4:$U$193,E$9,FALSE)</f>
        <v>#N/A</v>
      </c>
      <c r="F226" s="265" t="e">
        <f>VLOOKUP($A226,'Pivot rīcības un objekti'!$A$4:$U$193,F$9,FALSE)</f>
        <v>#N/A</v>
      </c>
      <c r="G226" s="265" t="e">
        <f>VLOOKUP($A226,'Pivot rīcības un objekti'!$A$4:$U$193,G$9,FALSE)</f>
        <v>#N/A</v>
      </c>
      <c r="H226" s="265" t="e">
        <f>VLOOKUP($A226,'Pivot rīcības un objekti'!$A$4:$U$193,H$9,FALSE)</f>
        <v>#N/A</v>
      </c>
      <c r="I226" s="265" t="e">
        <f>VLOOKUP($A226,'Pivot rīcības un objekti'!$A$4:$U$192,I$9,FALSE)</f>
        <v>#N/A</v>
      </c>
      <c r="J226" s="265" t="e">
        <f>VLOOKUP($A226,'Pivot rīcības un objekti'!$A$4:$U$192,J$9,FALSE)</f>
        <v>#N/A</v>
      </c>
      <c r="K226" s="293">
        <f>VLOOKUP(Table4[[#This Row],[Rīcības kods]],'Pivot rīcības un objekti'!$A$4:$T$233,19,FALSE)</f>
        <v>192.16666666666666</v>
      </c>
      <c r="L226" s="265">
        <f>VLOOKUP(Table4[[#This Row],[Rīcības kods]],'Pivot rīcības un objekti'!$A$4:$F$232,6,FALSE)</f>
        <v>7</v>
      </c>
      <c r="M226" s="266">
        <f>VLOOKUP(Table4[[#This Row],[Rīcības kods]],'Pivot rīcības un objekti'!$A$4:$F$232,2,FALSE)</f>
        <v>15000</v>
      </c>
      <c r="N226" s="266">
        <f>Table4[[#This Row],[Izmaksas, EUR]]+N225</f>
        <v>54451120</v>
      </c>
      <c r="O226" s="276"/>
    </row>
    <row r="227" spans="1:15" ht="29.45" customHeight="1">
      <c r="A227" s="262" t="s">
        <v>171</v>
      </c>
      <c r="B227" s="271" t="s">
        <v>345</v>
      </c>
      <c r="C227" s="264" t="str">
        <f>VLOOKUP(Table4[[#This Row],[Rīcības kods]],Rīcibas_plans!$B$4:$D$234,3,FALSE)</f>
        <v>Mols pie Daugavas, Zvejnieku iela 8</v>
      </c>
      <c r="D227" s="265" t="str">
        <f>VLOOKUP($A227,'Pivot rīcības un objekti'!$A$4:$U$193,21,FALSE)</f>
        <v>Gājēju ceļu izbūve, pieejamības uzlabošana.Savienojumi ar citām rekreācijas teritorijām</v>
      </c>
      <c r="E227" s="265">
        <f>VLOOKUP($A227,'Pivot rīcības un objekti'!$A$4:$U$193,E$9,FALSE)</f>
        <v>186</v>
      </c>
      <c r="F227" s="265">
        <f>VLOOKUP($A227,'Pivot rīcības un objekti'!$A$4:$U$193,F$9,FALSE)</f>
        <v>216</v>
      </c>
      <c r="G227" s="265">
        <f>VLOOKUP($A227,'Pivot rīcības un objekti'!$A$4:$U$193,G$9,FALSE)</f>
        <v>200</v>
      </c>
      <c r="H227" s="265">
        <f>VLOOKUP($A227,'Pivot rīcības un objekti'!$A$4:$U$193,H$9,FALSE)</f>
        <v>192</v>
      </c>
      <c r="I227" s="265">
        <f>VLOOKUP($A227,'Pivot rīcības un objekti'!$A$4:$U$192,I$9,FALSE)</f>
        <v>194</v>
      </c>
      <c r="J227" s="265">
        <f>VLOOKUP($A227,'Pivot rīcības un objekti'!$A$4:$U$192,J$9,FALSE)</f>
        <v>188</v>
      </c>
      <c r="K227" s="293">
        <f>VLOOKUP(Table4[[#This Row],[Rīcības kods]],'Pivot rīcības un objekti'!$A$4:$T$233,19,FALSE)</f>
        <v>196</v>
      </c>
      <c r="L227" s="265">
        <f>VLOOKUP(Table4[[#This Row],[Rīcības kods]],'Pivot rīcības un objekti'!$A$4:$F$232,6,FALSE)</f>
        <v>7</v>
      </c>
      <c r="M227" s="265">
        <f>VLOOKUP(Table4[[#This Row],[Rīcības kods]],'Pivot rīcības un objekti'!$A$4:$F$232,2,FALSE)</f>
        <v>484000</v>
      </c>
      <c r="N227" s="266">
        <f>Table4[[#This Row],[Izmaksas, EUR]]+N226</f>
        <v>54935120</v>
      </c>
      <c r="O227" s="276"/>
    </row>
    <row r="228" spans="1:15" ht="28.15">
      <c r="A228" s="262" t="s">
        <v>170</v>
      </c>
      <c r="B228" s="271" t="s">
        <v>324</v>
      </c>
      <c r="C228" s="264" t="str">
        <f>VLOOKUP(Table4[[#This Row],[Rīcības kods]],Rīcibas_plans!$B$4:$D$234,3,FALSE)</f>
        <v>Doles-Ķekavas Evaņģēliski luteriskā baznīca, Rīgas iela 75.</v>
      </c>
      <c r="D228" s="265" t="str">
        <f>VLOOKUP($A228,'Pivot rīcības un objekti'!$A$4:$U$193,21,FALSE)</f>
        <v>Turpmākajā plānošanas procesā veicamie darbi</v>
      </c>
      <c r="E228" s="265">
        <f>VLOOKUP($A228,'Pivot rīcības un objekti'!$A$4:$U$193,E$9,FALSE)</f>
        <v>186</v>
      </c>
      <c r="F228" s="265">
        <f>VLOOKUP($A228,'Pivot rīcības un objekti'!$A$4:$U$193,F$9,FALSE)</f>
        <v>196</v>
      </c>
      <c r="G228" s="265">
        <f>VLOOKUP($A228,'Pivot rīcības un objekti'!$A$4:$U$193,G$9,FALSE)</f>
        <v>163</v>
      </c>
      <c r="H228" s="265" t="e">
        <f>VLOOKUP($A228,'Pivot rīcības un objekti'!$A$4:$U$193,H$9,FALSE)</f>
        <v>#VALUE!</v>
      </c>
      <c r="I228" s="265" t="e">
        <f>VLOOKUP($A228,'Pivot rīcības un objekti'!$A$4:$U$192,I$9,FALSE)</f>
        <v>#VALUE!</v>
      </c>
      <c r="J228" s="265" t="e">
        <f>VLOOKUP($A228,'Pivot rīcības un objekti'!$A$4:$U$192,J$9,FALSE)</f>
        <v>#VALUE!</v>
      </c>
      <c r="K228" s="293" t="e">
        <f>VLOOKUP(Table4[[#This Row],[Rīcības kods]],'Pivot rīcības un objekti'!$A$4:$T$233,19,FALSE)</f>
        <v>#VALUE!</v>
      </c>
      <c r="L228" s="265">
        <f>VLOOKUP(Table4[[#This Row],[Rīcības kods]],'Pivot rīcības un objekti'!$A$4:$F$232,6,FALSE)</f>
        <v>7</v>
      </c>
      <c r="M228" s="265">
        <f>VLOOKUP(Table4[[#This Row],[Rīcības kods]],'Pivot rīcības un objekti'!$A$4:$F$232,2,FALSE)</f>
        <v>0</v>
      </c>
      <c r="N228" s="266">
        <f>Table4[[#This Row],[Izmaksas, EUR]]+N227</f>
        <v>54935120</v>
      </c>
      <c r="O228" s="276"/>
    </row>
    <row r="229" spans="1:15" ht="39.6" customHeight="1">
      <c r="A229" s="262" t="s">
        <v>173</v>
      </c>
      <c r="B229" s="271" t="s">
        <v>324</v>
      </c>
      <c r="C229" s="264" t="str">
        <f>VLOOKUP(Table4[[#This Row],[Rīcības kods]],Rīcibas_plans!$B$4:$D$234,3,FALSE)</f>
        <v>Labiekārtota atpūtas vietas pie ūdens zona, Dārznieku iela 13,</v>
      </c>
      <c r="D229" s="265" t="str">
        <f>VLOOKUP($A229,'Pivot rīcības un objekti'!$A$4:$U$193,21,FALSE)</f>
        <v>Savstarpēji saskaņoti labiekārtojuma elementi, papildināt ar apgaismojumu, norādes uz atpūtas vietu pie ūdens.</v>
      </c>
      <c r="E229" s="265">
        <f>VLOOKUP($A229,'Pivot rīcības un objekti'!$A$4:$U$193,E$9,FALSE)</f>
        <v>93</v>
      </c>
      <c r="F229" s="265">
        <f>VLOOKUP($A229,'Pivot rīcības un objekti'!$A$4:$U$193,F$9,FALSE)</f>
        <v>196</v>
      </c>
      <c r="G229" s="265">
        <f>VLOOKUP($A229,'Pivot rīcības un objekti'!$A$4:$U$193,G$9,FALSE)</f>
        <v>163</v>
      </c>
      <c r="H229" s="265" t="e">
        <f>VLOOKUP($A229,'Pivot rīcības un objekti'!$A$4:$U$193,H$9,FALSE)</f>
        <v>#VALUE!</v>
      </c>
      <c r="I229" s="265" t="e">
        <f>VLOOKUP($A229,'Pivot rīcības un objekti'!$A$4:$U$192,I$9,FALSE)</f>
        <v>#VALUE!</v>
      </c>
      <c r="J229" s="265" t="e">
        <f>VLOOKUP($A229,'Pivot rīcības un objekti'!$A$4:$U$192,J$9,FALSE)</f>
        <v>#VALUE!</v>
      </c>
      <c r="K229" s="293" t="e">
        <f>VLOOKUP(Table4[[#This Row],[Rīcības kods]],'Pivot rīcības un objekti'!$A$4:$T$233,19,FALSE)</f>
        <v>#VALUE!</v>
      </c>
      <c r="L229" s="265">
        <f>VLOOKUP(Table4[[#This Row],[Rīcības kods]],'Pivot rīcības un objekti'!$A$4:$F$232,6,FALSE)</f>
        <v>7</v>
      </c>
      <c r="M229" s="265">
        <f>VLOOKUP(Table4[[#This Row],[Rīcības kods]],'Pivot rīcības un objekti'!$A$4:$F$232,2,FALSE)</f>
        <v>0</v>
      </c>
      <c r="N229" s="266">
        <f>Table4[[#This Row],[Izmaksas, EUR]]+N228</f>
        <v>54935120</v>
      </c>
      <c r="O229" s="334"/>
    </row>
    <row r="230" spans="1:15" ht="42">
      <c r="A230" s="262" t="s">
        <v>182</v>
      </c>
      <c r="B230" s="271" t="s">
        <v>324</v>
      </c>
      <c r="C230" s="264" t="str">
        <f>VLOOKUP(Table4[[#This Row],[Rīcības kods]],Rīcibas_plans!$B$4:$D$234,3,FALSE)</f>
        <v>Ķekavas pašvaldības priekšlaukums, pie ēkas Gaismas ielā 19-k-9</v>
      </c>
      <c r="D230" s="265" t="str">
        <f>VLOOKUP($A230,'Pivot rīcības un objekti'!$A$4:$U$193,21,FALSE)</f>
        <v xml:space="preserve">- </v>
      </c>
      <c r="E230" s="265">
        <f>VLOOKUP($A230,'Pivot rīcības un objekti'!$A$4:$U$193,E$9,FALSE)</f>
        <v>4</v>
      </c>
      <c r="F230" s="265">
        <f>VLOOKUP($A230,'Pivot rīcības un objekti'!$A$4:$U$193,F$9,FALSE)</f>
        <v>14</v>
      </c>
      <c r="G230" s="265">
        <f>VLOOKUP($A230,'Pivot rīcības un objekti'!$A$4:$U$193,G$9,FALSE)</f>
        <v>69</v>
      </c>
      <c r="H230" s="265" t="e">
        <f>VLOOKUP($A230,'Pivot rīcības un objekti'!$A$4:$U$193,H$9,FALSE)</f>
        <v>#VALUE!</v>
      </c>
      <c r="I230" s="265" t="e">
        <f>VLOOKUP($A230,'Pivot rīcības un objekti'!$A$4:$U$192,I$9,FALSE)</f>
        <v>#VALUE!</v>
      </c>
      <c r="J230" s="265" t="e">
        <f>VLOOKUP($A230,'Pivot rīcības un objekti'!$A$4:$U$192,J$9,FALSE)</f>
        <v>#VALUE!</v>
      </c>
      <c r="K230" s="293" t="e">
        <f>VLOOKUP(Table4[[#This Row],[Rīcības kods]],'Pivot rīcības un objekti'!$A$4:$T$233,19,FALSE)</f>
        <v>#VALUE!</v>
      </c>
      <c r="L230" s="265">
        <f>VLOOKUP(Table4[[#This Row],[Rīcības kods]],'Pivot rīcības un objekti'!$A$4:$F$232,6,FALSE)</f>
        <v>7</v>
      </c>
      <c r="M230" s="265">
        <f>VLOOKUP(Table4[[#This Row],[Rīcības kods]],'Pivot rīcības un objekti'!$A$4:$F$232,2,FALSE)</f>
        <v>0</v>
      </c>
      <c r="N230" s="266">
        <f>Table4[[#This Row],[Izmaksas, EUR]]+N229</f>
        <v>54935120</v>
      </c>
      <c r="O230" s="296"/>
    </row>
    <row r="231" spans="1:15" ht="26.45" customHeight="1">
      <c r="A231" s="262" t="s">
        <v>190</v>
      </c>
      <c r="B231" s="271" t="s">
        <v>345</v>
      </c>
      <c r="C231" s="264" t="str">
        <f>VLOOKUP(Table4[[#This Row],[Rīcības kods]],Rīcibas_plans!$B$4:$D$234,3,FALSE)</f>
        <v>Gājēju ietve - Ziemeļu iela</v>
      </c>
      <c r="D231" s="265" t="str">
        <f>VLOOKUP($A231,'Pivot rīcības un objekti'!$A$4:$U$193,21,FALSE)</f>
        <v>Apgaismotas ietves izbūve no A7 līdz putnu fabrikai (savienojums  ar plānoto  gājēju un velosipēdu ceļu). Izvietot lietišķās atpūtas vietas (S tips).</v>
      </c>
      <c r="E231" s="265">
        <f>VLOOKUP($A231,'Pivot rīcības un objekti'!$A$4:$U$193,E$9,FALSE)</f>
        <v>93</v>
      </c>
      <c r="F231" s="265">
        <f>VLOOKUP($A231,'Pivot rīcības un objekti'!$A$4:$U$193,F$9,FALSE)</f>
        <v>66</v>
      </c>
      <c r="G231" s="265">
        <f>VLOOKUP($A231,'Pivot rīcības un objekti'!$A$4:$U$193,G$9,FALSE)</f>
        <v>71</v>
      </c>
      <c r="H231" s="265" t="e">
        <f>VLOOKUP($A231,'Pivot rīcības un objekti'!$A$4:$U$193,H$9,FALSE)</f>
        <v>#VALUE!</v>
      </c>
      <c r="I231" s="265" t="e">
        <f>VLOOKUP($A231,'Pivot rīcības un objekti'!$A$4:$U$192,I$9,FALSE)</f>
        <v>#VALUE!</v>
      </c>
      <c r="J231" s="265" t="e">
        <f>VLOOKUP($A231,'Pivot rīcības un objekti'!$A$4:$U$192,J$9,FALSE)</f>
        <v>#VALUE!</v>
      </c>
      <c r="K231" s="293" t="e">
        <f>VLOOKUP(Table4[[#This Row],[Rīcības kods]],'Pivot rīcības un objekti'!$A$4:$T$233,19,FALSE)</f>
        <v>#VALUE!</v>
      </c>
      <c r="L231" s="265">
        <f>VLOOKUP(Table4[[#This Row],[Rīcības kods]],'Pivot rīcības un objekti'!$A$4:$F$232,6,FALSE)</f>
        <v>7</v>
      </c>
      <c r="M231" s="265">
        <f>VLOOKUP(Table4[[#This Row],[Rīcības kods]],'Pivot rīcības un objekti'!$A$4:$F$232,2,FALSE)</f>
        <v>0</v>
      </c>
      <c r="N231" s="266">
        <f>Table4[[#This Row],[Izmaksas, EUR]]+N230</f>
        <v>54935120</v>
      </c>
      <c r="O231" s="276"/>
    </row>
    <row r="232" spans="1:15" ht="28.15">
      <c r="A232" s="262" t="s">
        <v>271</v>
      </c>
      <c r="B232" s="271" t="s">
        <v>328</v>
      </c>
      <c r="C232" s="264" t="str">
        <f>VLOOKUP(Table4[[#This Row],[Rīcības kods]],Rīcibas_plans!$B$4:$D$234,3,FALSE)</f>
        <v>Katlakalna tautas nams, Pļavniekkalna iela 35, Katlakalns</v>
      </c>
      <c r="D232" s="265" t="e">
        <f>VLOOKUP($A232,'Pivot rīcības un objekti'!$A$4:$U$193,21,FALSE)</f>
        <v>#N/A</v>
      </c>
      <c r="E232" s="265" t="e">
        <f>VLOOKUP($A232,'Pivot rīcības un objekti'!$A$4:$U$193,E$9,FALSE)</f>
        <v>#N/A</v>
      </c>
      <c r="F232" s="265" t="e">
        <f>VLOOKUP($A232,'Pivot rīcības un objekti'!$A$4:$U$193,F$9,FALSE)</f>
        <v>#N/A</v>
      </c>
      <c r="G232" s="265" t="e">
        <f>VLOOKUP($A232,'Pivot rīcības un objekti'!$A$4:$U$193,G$9,FALSE)</f>
        <v>#N/A</v>
      </c>
      <c r="H232" s="265" t="e">
        <f>VLOOKUP($A232,'Pivot rīcības un objekti'!$A$4:$U$193,H$9,FALSE)</f>
        <v>#N/A</v>
      </c>
      <c r="I232" s="265" t="e">
        <f>VLOOKUP($A232,'Pivot rīcības un objekti'!$A$4:$U$192,I$9,FALSE)</f>
        <v>#N/A</v>
      </c>
      <c r="J232" s="265" t="e">
        <f>VLOOKUP($A232,'Pivot rīcības un objekti'!$A$4:$U$192,J$9,FALSE)</f>
        <v>#N/A</v>
      </c>
      <c r="K232" s="293" t="e">
        <f>VLOOKUP(Table4[[#This Row],[Rīcības kods]],'Pivot rīcības un objekti'!$A$4:$T$233,19,FALSE)</f>
        <v>#VALUE!</v>
      </c>
      <c r="L232" s="265">
        <f>VLOOKUP(Table4[[#This Row],[Rīcības kods]],'Pivot rīcības un objekti'!$A$4:$F$232,6,FALSE)</f>
        <v>7</v>
      </c>
      <c r="M232" s="265">
        <f>VLOOKUP(Table4[[#This Row],[Rīcības kods]],'Pivot rīcības un objekti'!$A$4:$F$232,2,FALSE)</f>
        <v>0</v>
      </c>
      <c r="N232" s="266">
        <f>Table4[[#This Row],[Izmaksas, EUR]]+N231</f>
        <v>54935120</v>
      </c>
      <c r="O232" s="335"/>
    </row>
    <row r="233" spans="1:15" ht="42">
      <c r="A233" s="262" t="s">
        <v>253</v>
      </c>
      <c r="B233" s="271" t="s">
        <v>325</v>
      </c>
      <c r="C233" s="264" t="str">
        <f>VLOOKUP(Table4[[#This Row],[Rīcības kods]],Rīcibas_plans!$B$4:$D$234,3,FALSE)</f>
        <v>Rāmavas muiža, Rakstnieka G.Merķeļa dzīvesvieta (92), Rāmavas iela 9,</v>
      </c>
      <c r="D233" s="265" t="e">
        <f>VLOOKUP($A233,'Pivot rīcības un objekti'!$A$4:$U$193,21,FALSE)</f>
        <v>#N/A</v>
      </c>
      <c r="E233" s="265" t="e">
        <f>VLOOKUP($A233,'Pivot rīcības un objekti'!$A$4:$U$193,E$9,FALSE)</f>
        <v>#N/A</v>
      </c>
      <c r="F233" s="265" t="e">
        <f>VLOOKUP($A233,'Pivot rīcības un objekti'!$A$4:$U$193,F$9,FALSE)</f>
        <v>#N/A</v>
      </c>
      <c r="G233" s="265" t="e">
        <f>VLOOKUP($A233,'Pivot rīcības un objekti'!$A$4:$U$193,G$9,FALSE)</f>
        <v>#N/A</v>
      </c>
      <c r="H233" s="265" t="e">
        <f>VLOOKUP($A233,'Pivot rīcības un objekti'!$A$4:$U$193,H$9,FALSE)</f>
        <v>#N/A</v>
      </c>
      <c r="I233" s="265" t="e">
        <f>VLOOKUP($A233,'Pivot rīcības un objekti'!$A$4:$U$192,I$9,FALSE)</f>
        <v>#N/A</v>
      </c>
      <c r="J233" s="265" t="e">
        <f>VLOOKUP($A233,'Pivot rīcības un objekti'!$A$4:$U$192,J$9,FALSE)</f>
        <v>#N/A</v>
      </c>
      <c r="K233" s="293" t="e">
        <f>VLOOKUP(Table4[[#This Row],[Rīcības kods]],'Pivot rīcības un objekti'!$A$4:$T$233,19,FALSE)</f>
        <v>#VALUE!</v>
      </c>
      <c r="L233" s="265">
        <f>VLOOKUP(Table4[[#This Row],[Rīcības kods]],'Pivot rīcības un objekti'!$A$4:$F$232,6,FALSE)</f>
        <v>7</v>
      </c>
      <c r="M233" s="265">
        <f>VLOOKUP(Table4[[#This Row],[Rīcības kods]],'Pivot rīcības un objekti'!$A$4:$F$232,2,FALSE)</f>
        <v>0</v>
      </c>
      <c r="N233" s="266">
        <f>Table4[[#This Row],[Izmaksas, EUR]]+N232</f>
        <v>54935120</v>
      </c>
      <c r="O233" s="276"/>
    </row>
    <row r="234" spans="1:15" ht="37.15" customHeight="1">
      <c r="A234" s="262" t="s">
        <v>47</v>
      </c>
      <c r="B234" s="271" t="s">
        <v>323</v>
      </c>
      <c r="C234" s="264" t="str">
        <f>VLOOKUP(Table4[[#This Row],[Rīcības kods]],Rīcibas_plans!$B$4:$D$234,3,FALSE)</f>
        <v>Miglas ielas gājēju un velosipēdistu infrastruktūra</v>
      </c>
      <c r="D234" s="265" t="str">
        <f>VLOOKUP($A234,'Pivot rīcības un objekti'!$A$4:$U$193,21,FALSE)</f>
        <v>Apgaismotas ietves izbūve no Saulgriežu ielas līdz Ezera ielai. Lietišķās atpūtas vietu izvietošana (S tips)</v>
      </c>
      <c r="E234" s="265">
        <f>VLOOKUP($A234,'Pivot rīcības un objekti'!$A$4:$U$193,E$9,FALSE)</f>
        <v>76</v>
      </c>
      <c r="F234" s="265">
        <f>VLOOKUP($A234,'Pivot rīcības un objekti'!$A$4:$U$193,F$9,FALSE)</f>
        <v>33</v>
      </c>
      <c r="G234" s="265">
        <f>VLOOKUP($A234,'Pivot rīcības un objekti'!$A$4:$U$193,G$9,FALSE)</f>
        <v>27</v>
      </c>
      <c r="H234" s="265" t="e">
        <f>VLOOKUP($A234,'Pivot rīcības un objekti'!$A$4:$U$193,H$9,FALSE)</f>
        <v>#VALUE!</v>
      </c>
      <c r="I234" s="265" t="e">
        <f>VLOOKUP($A234,'Pivot rīcības un objekti'!$A$4:$U$192,I$9,FALSE)</f>
        <v>#VALUE!</v>
      </c>
      <c r="J234" s="265" t="e">
        <f>VLOOKUP($A234,'Pivot rīcības un objekti'!$A$4:$U$192,J$9,FALSE)</f>
        <v>#VALUE!</v>
      </c>
      <c r="K234" s="293" t="e">
        <f>VLOOKUP(Table4[[#This Row],[Rīcības kods]],'Pivot rīcības un objekti'!$A$4:$T$233,19,FALSE)</f>
        <v>#VALUE!</v>
      </c>
      <c r="L234" s="265">
        <f>VLOOKUP(Table4[[#This Row],[Rīcības kods]],'Pivot rīcības un objekti'!$A$4:$F$232,6,FALSE)</f>
        <v>7</v>
      </c>
      <c r="M234" s="265">
        <f>VLOOKUP(Table4[[#This Row],[Rīcības kods]],'Pivot rīcības un objekti'!$A$4:$F$232,2,FALSE)</f>
        <v>0</v>
      </c>
      <c r="N234" s="266">
        <f>Table4[[#This Row],[Izmaksas, EUR]]+N233</f>
        <v>54935120</v>
      </c>
      <c r="O234" s="276"/>
    </row>
    <row r="235" spans="1:15" ht="37.9" customHeight="1">
      <c r="A235" s="262" t="s">
        <v>48</v>
      </c>
      <c r="B235" s="271" t="s">
        <v>323</v>
      </c>
      <c r="C235" s="264" t="str">
        <f>VLOOKUP(Table4[[#This Row],[Rīcības kods]],Rīcibas_plans!$B$4:$D$234,3,FALSE)</f>
        <v>Miglas ielas gājēju un velosipēdistu infrastruktūra</v>
      </c>
      <c r="D235" s="265" t="str">
        <f>VLOOKUP($A235,'Pivot rīcības un objekti'!$A$4:$U$193,21,FALSE)</f>
        <v>Apgaismotas ietves izbūve no Saulgriežu ielas līdz Ezera ielai. Lietišķās atpūtas vietu izvietošana (S tips)</v>
      </c>
      <c r="E235" s="265">
        <f>VLOOKUP($A235,'Pivot rīcības un objekti'!$A$4:$U$193,E$9,FALSE)</f>
        <v>76</v>
      </c>
      <c r="F235" s="265">
        <f>VLOOKUP($A235,'Pivot rīcības un objekti'!$A$4:$U$193,F$9,FALSE)</f>
        <v>43</v>
      </c>
      <c r="G235" s="265">
        <f>VLOOKUP($A235,'Pivot rīcības un objekti'!$A$4:$U$193,G$9,FALSE)</f>
        <v>76</v>
      </c>
      <c r="H235" s="265" t="e">
        <f>VLOOKUP($A235,'Pivot rīcības un objekti'!$A$4:$U$193,H$9,FALSE)</f>
        <v>#VALUE!</v>
      </c>
      <c r="I235" s="265" t="e">
        <f>VLOOKUP($A235,'Pivot rīcības un objekti'!$A$4:$U$192,I$9,FALSE)</f>
        <v>#VALUE!</v>
      </c>
      <c r="J235" s="265" t="e">
        <f>VLOOKUP($A235,'Pivot rīcības un objekti'!$A$4:$U$192,J$9,FALSE)</f>
        <v>#VALUE!</v>
      </c>
      <c r="K235" s="293" t="e">
        <f>VLOOKUP(Table4[[#This Row],[Rīcības kods]],'Pivot rīcības un objekti'!$A$4:$T$233,19,FALSE)</f>
        <v>#VALUE!</v>
      </c>
      <c r="L235" s="265">
        <f>VLOOKUP(Table4[[#This Row],[Rīcības kods]],'Pivot rīcības un objekti'!$A$4:$F$232,6,FALSE)</f>
        <v>7</v>
      </c>
      <c r="M235" s="265">
        <f>VLOOKUP(Table4[[#This Row],[Rīcības kods]],'Pivot rīcības un objekti'!$A$4:$F$232,2,FALSE)</f>
        <v>0</v>
      </c>
      <c r="N235" s="266">
        <f>Table4[[#This Row],[Izmaksas, EUR]]+N234</f>
        <v>54935120</v>
      </c>
      <c r="O235" s="276"/>
    </row>
    <row r="236" spans="1:15" ht="35.450000000000003" customHeight="1">
      <c r="A236" s="262" t="s">
        <v>122</v>
      </c>
      <c r="B236" s="271" t="s">
        <v>308</v>
      </c>
      <c r="C236" s="264" t="str">
        <f>VLOOKUP(Table4[[#This Row],[Rīcības kods]],Rīcibas_plans!$B$4:$D$234,3,FALSE)</f>
        <v>Daugmales pilskalns</v>
      </c>
      <c r="D236" s="265" t="str">
        <f>VLOOKUP($A236,'Pivot rīcības un objekti'!$A$4:$U$193,21,FALSE)</f>
        <v>Pieejamības uzlabošana  ierīkojot gājēju ceļu tīklu un  lietisķās atpūtas vietas (L tipa pie "ieejas zonas" un S tipa pārējā teritorijā)</v>
      </c>
      <c r="E236" s="265">
        <f>VLOOKUP($A236,'Pivot rīcības un objekti'!$A$4:$U$193,E$9,FALSE)</f>
        <v>64</v>
      </c>
      <c r="F236" s="265">
        <f>VLOOKUP($A236,'Pivot rīcības un objekti'!$A$4:$U$193,F$9,FALSE)</f>
        <v>165</v>
      </c>
      <c r="G236" s="265">
        <f>VLOOKUP($A236,'Pivot rīcības un objekti'!$A$4:$U$193,G$9,FALSE)</f>
        <v>127</v>
      </c>
      <c r="H236" s="265" t="e">
        <f>VLOOKUP($A236,'Pivot rīcības un objekti'!$A$4:$U$193,H$9,FALSE)</f>
        <v>#VALUE!</v>
      </c>
      <c r="I236" s="265" t="e">
        <f>VLOOKUP($A236,'Pivot rīcības un objekti'!$A$4:$U$192,I$9,FALSE)</f>
        <v>#VALUE!</v>
      </c>
      <c r="J236" s="265" t="e">
        <f>VLOOKUP($A236,'Pivot rīcības un objekti'!$A$4:$U$192,J$9,FALSE)</f>
        <v>#VALUE!</v>
      </c>
      <c r="K236" s="293" t="e">
        <f>VLOOKUP(Table4[[#This Row],[Rīcības kods]],'Pivot rīcības un objekti'!$A$4:$T$233,19,FALSE)</f>
        <v>#VALUE!</v>
      </c>
      <c r="L236" s="265">
        <f>VLOOKUP(Table4[[#This Row],[Rīcības kods]],'Pivot rīcības un objekti'!$A$4:$F$232,6,FALSE)</f>
        <v>7</v>
      </c>
      <c r="M236" s="265">
        <f>VLOOKUP(Table4[[#This Row],[Rīcības kods]],'Pivot rīcības un objekti'!$A$4:$F$232,2,FALSE)</f>
        <v>0</v>
      </c>
      <c r="N236" s="266">
        <f>Table4[[#This Row],[Izmaksas, EUR]]+N235</f>
        <v>54935120</v>
      </c>
      <c r="O236" s="276"/>
    </row>
    <row r="237" spans="1:15" ht="33.6" customHeight="1">
      <c r="A237" s="262" t="s">
        <v>153</v>
      </c>
      <c r="B237" s="271" t="s">
        <v>329</v>
      </c>
      <c r="C237" s="264" t="str">
        <f>VLOOKUP(Table4[[#This Row],[Rīcības kods]],Rīcibas_plans!$B$4:$D$234,3,FALSE)</f>
        <v>Daugmales pagasta  pārvaldes priekšlaukums, “Salnas”, Daugmale</v>
      </c>
      <c r="D237" s="265" t="str">
        <f>VLOOKUP($A237,'Pivot rīcības un objekti'!$A$4:$U$193,21,FALSE)</f>
        <v>Lietišķās atpūtas vieta (L tipa) noņemt autostāvvietas funkciju</v>
      </c>
      <c r="E237" s="265">
        <f>VLOOKUP($A237,'Pivot rīcības un objekti'!$A$4:$U$193,E$9,FALSE)</f>
        <v>149</v>
      </c>
      <c r="F237" s="265">
        <f>VLOOKUP($A237,'Pivot rīcības un objekti'!$A$4:$U$193,F$9,FALSE)</f>
        <v>134</v>
      </c>
      <c r="G237" s="265">
        <f>VLOOKUP($A237,'Pivot rīcības un objekti'!$A$4:$U$193,G$9,FALSE)</f>
        <v>163</v>
      </c>
      <c r="H237" s="265" t="e">
        <f>VLOOKUP($A237,'Pivot rīcības un objekti'!$A$4:$U$193,H$9,FALSE)</f>
        <v>#VALUE!</v>
      </c>
      <c r="I237" s="265" t="e">
        <f>VLOOKUP($A237,'Pivot rīcības un objekti'!$A$4:$U$192,I$9,FALSE)</f>
        <v>#VALUE!</v>
      </c>
      <c r="J237" s="265" t="e">
        <f>VLOOKUP($A237,'Pivot rīcības un objekti'!$A$4:$U$192,J$9,FALSE)</f>
        <v>#VALUE!</v>
      </c>
      <c r="K237" s="293" t="e">
        <f>VLOOKUP(Table4[[#This Row],[Rīcības kods]],'Pivot rīcības un objekti'!$A$4:$T$233,19,FALSE)</f>
        <v>#VALUE!</v>
      </c>
      <c r="L237" s="265">
        <f>VLOOKUP(Table4[[#This Row],[Rīcības kods]],'Pivot rīcības un objekti'!$A$4:$F$232,6,FALSE)</f>
        <v>7</v>
      </c>
      <c r="M237" s="265">
        <f>VLOOKUP(Table4[[#This Row],[Rīcības kods]],'Pivot rīcības un objekti'!$A$4:$F$232,2,FALSE)</f>
        <v>0</v>
      </c>
      <c r="N237" s="266">
        <f>Table4[[#This Row],[Izmaksas, EUR]]+N236</f>
        <v>54935120</v>
      </c>
      <c r="O237" s="276"/>
    </row>
    <row r="238" spans="1:15" ht="28.15">
      <c r="A238" s="262" t="s">
        <v>154</v>
      </c>
      <c r="B238" s="271" t="s">
        <v>329</v>
      </c>
      <c r="C238" s="264" t="str">
        <f>VLOOKUP(Table4[[#This Row],[Rīcības kods]],Rīcibas_plans!$B$4:$D$234,3,FALSE)</f>
        <v>Daugmales Multifunkcionālā centra priekšlaukums, “Salnas”, Daugmale</v>
      </c>
      <c r="D238" s="265" t="str">
        <f>VLOOKUP($A238,'Pivot rīcības un objekti'!$A$4:$U$193,21,FALSE)</f>
        <v xml:space="preserve">- </v>
      </c>
      <c r="E238" s="265">
        <f>VLOOKUP($A238,'Pivot rīcības un objekti'!$A$4:$U$193,E$9,FALSE)</f>
        <v>76</v>
      </c>
      <c r="F238" s="265">
        <f>VLOOKUP($A238,'Pivot rīcības un objekti'!$A$4:$U$193,F$9,FALSE)</f>
        <v>43</v>
      </c>
      <c r="G238" s="265">
        <f>VLOOKUP($A238,'Pivot rīcības un objekti'!$A$4:$U$193,G$9,FALSE)</f>
        <v>56</v>
      </c>
      <c r="H238" s="265" t="e">
        <f>VLOOKUP($A238,'Pivot rīcības un objekti'!$A$4:$U$193,H$9,FALSE)</f>
        <v>#VALUE!</v>
      </c>
      <c r="I238" s="265" t="e">
        <f>VLOOKUP($A238,'Pivot rīcības un objekti'!$A$4:$U$192,I$9,FALSE)</f>
        <v>#VALUE!</v>
      </c>
      <c r="J238" s="265" t="e">
        <f>VLOOKUP($A238,'Pivot rīcības un objekti'!$A$4:$U$192,J$9,FALSE)</f>
        <v>#VALUE!</v>
      </c>
      <c r="K238" s="293" t="e">
        <f>VLOOKUP(Table4[[#This Row],[Rīcības kods]],'Pivot rīcības un objekti'!$A$4:$T$233,19,FALSE)</f>
        <v>#VALUE!</v>
      </c>
      <c r="L238" s="265">
        <f>VLOOKUP(Table4[[#This Row],[Rīcības kods]],'Pivot rīcības un objekti'!$A$4:$F$232,6,FALSE)</f>
        <v>7</v>
      </c>
      <c r="M238" s="265">
        <f>VLOOKUP(Table4[[#This Row],[Rīcības kods]],'Pivot rīcības un objekti'!$A$4:$F$232,2,FALSE)</f>
        <v>0</v>
      </c>
      <c r="N238" s="266">
        <f>Table4[[#This Row],[Izmaksas, EUR]]+N237</f>
        <v>54935120</v>
      </c>
      <c r="O238" s="296"/>
    </row>
    <row r="239" spans="1:15">
      <c r="A239" s="345" t="s">
        <v>275</v>
      </c>
      <c r="B239" s="346" t="s">
        <v>348</v>
      </c>
      <c r="C239" s="347" t="str">
        <f>VLOOKUP(Table4[[#This Row],[Rīcības kods]],Rīcibas_plans!$B$4:$D$234,3,FALSE)</f>
        <v xml:space="preserve">Sausās Daugavas dabas parks </v>
      </c>
      <c r="D239" s="348" t="e">
        <f>VLOOKUP($A239,'Pivot rīcības un objekti'!$A$4:$U$193,21,FALSE)</f>
        <v>#N/A</v>
      </c>
      <c r="E239" s="348" t="e">
        <f>VLOOKUP($A239,'Pivot rīcības un objekti'!$A$4:$U$193,E$9,FALSE)</f>
        <v>#N/A</v>
      </c>
      <c r="F239" s="348" t="e">
        <f>VLOOKUP($A239,'Pivot rīcības un objekti'!$A$4:$U$193,F$9,FALSE)</f>
        <v>#N/A</v>
      </c>
      <c r="G239" s="348" t="e">
        <f>VLOOKUP($A239,'Pivot rīcības un objekti'!$A$4:$U$193,G$9,FALSE)</f>
        <v>#N/A</v>
      </c>
      <c r="H239" s="348" t="e">
        <f>VLOOKUP($A239,'Pivot rīcības un objekti'!$A$4:$U$193,H$9,FALSE)</f>
        <v>#N/A</v>
      </c>
      <c r="I239" s="348" t="e">
        <f>VLOOKUP($A239,'Pivot rīcības un objekti'!$A$4:$U$192,I$9,FALSE)</f>
        <v>#N/A</v>
      </c>
      <c r="J239" s="349" t="e">
        <f>VLOOKUP($A239,'Pivot rīcības un objekti'!$A$4:$U$192,J$9,FALSE)</f>
        <v>#N/A</v>
      </c>
      <c r="K239" s="350">
        <f>VLOOKUP(Table4[[#This Row],[Rīcības kods]],'Pivot rīcības un objekti'!$A$4:$T$232,19,FALSE)</f>
        <v>144.16666666666666</v>
      </c>
      <c r="L239" s="351">
        <f>VLOOKUP(Table4[[#This Row],[Rīcības kods]],'Pivot rīcības un objekti'!$A$4:$F$232,6,FALSE)</f>
        <v>7</v>
      </c>
      <c r="M239" s="348">
        <f>VLOOKUP(Table4[[#This Row],[Rīcības kods]],'Pivot rīcības un objekti'!$A$4:$F$232,2,FALSE)</f>
        <v>500000</v>
      </c>
      <c r="N239" s="266">
        <f>Table4[[#This Row],[Izmaksas, EUR]]+N238</f>
        <v>55435120</v>
      </c>
      <c r="O239" s="352"/>
    </row>
    <row r="240" spans="1:15" ht="42" customHeight="1">
      <c r="A240" s="345" t="s">
        <v>276</v>
      </c>
      <c r="B240" s="346" t="s">
        <v>340</v>
      </c>
      <c r="C240" s="347" t="str">
        <f>VLOOKUP(Table4[[#This Row],[Rīcības kods]],Rīcibas_plans!$B$4:$D$234,3,FALSE)</f>
        <v>Novada zīmes izvietošana uz autoceļa P89 (Ķekava - Skaistkalne)</v>
      </c>
      <c r="D240" s="348" t="e">
        <f>VLOOKUP($A240,'Pivot rīcības un objekti'!$A$4:$U$193,21,FALSE)</f>
        <v>#N/A</v>
      </c>
      <c r="E240" s="348" t="e">
        <f>VLOOKUP($A240,'Pivot rīcības un objekti'!$A$4:$U$193,E$9,FALSE)</f>
        <v>#N/A</v>
      </c>
      <c r="F240" s="348" t="e">
        <f>VLOOKUP($A240,'Pivot rīcības un objekti'!$A$4:$U$193,F$9,FALSE)</f>
        <v>#N/A</v>
      </c>
      <c r="G240" s="348" t="e">
        <f>VLOOKUP($A240,'Pivot rīcības un objekti'!$A$4:$U$193,G$9,FALSE)</f>
        <v>#N/A</v>
      </c>
      <c r="H240" s="348" t="e">
        <f>VLOOKUP($A240,'Pivot rīcības un objekti'!$A$4:$U$193,H$9,FALSE)</f>
        <v>#N/A</v>
      </c>
      <c r="I240" s="348" t="e">
        <f>VLOOKUP($A240,'Pivot rīcības un objekti'!$A$4:$U$192,I$9,FALSE)</f>
        <v>#N/A</v>
      </c>
      <c r="J240" s="349" t="e">
        <f>VLOOKUP($A240,'Pivot rīcības un objekti'!$A$4:$U$192,J$9,FALSE)</f>
        <v>#N/A</v>
      </c>
      <c r="K240" s="350">
        <f>VLOOKUP(Table4[[#This Row],[Rīcības kods]],'Pivot rīcības un objekti'!$A$4:$T$234,19,FALSE)</f>
        <v>0</v>
      </c>
      <c r="L240" s="351">
        <f>VLOOKUP(Table4[[#This Row],[Rīcības kods]],'Pivot rīcības un objekti'!$A$4:$F$233,6,FALSE)</f>
        <v>1</v>
      </c>
      <c r="M240" s="348">
        <f>VLOOKUP(Table4[[#This Row],[Rīcības kods]],'Pivot rīcības un objekti'!$A$4:$F$233,2,FALSE)</f>
        <v>90</v>
      </c>
      <c r="N240" s="266">
        <f>Table4[[#This Row],[Izmaksas, EUR]]+N239</f>
        <v>55435210</v>
      </c>
      <c r="O240" s="352"/>
    </row>
    <row r="241" spans="1:15">
      <c r="A241" s="337"/>
      <c r="B241" s="338"/>
      <c r="C241" s="339"/>
      <c r="D241" s="340" t="e">
        <f>VLOOKUP($A241,'Pivot rīcības un objekti'!$A$4:$U$193,21,FALSE)</f>
        <v>#N/A</v>
      </c>
      <c r="E241" s="340" t="e">
        <f>VLOOKUP($A241,'Pivot rīcības un objekti'!$A$4:$U$193,E$9,FALSE)</f>
        <v>#N/A</v>
      </c>
      <c r="F241" s="340" t="e">
        <f>VLOOKUP($A241,'Pivot rīcības un objekti'!$A$4:$U$193,F$9,FALSE)</f>
        <v>#N/A</v>
      </c>
      <c r="G241" s="340" t="e">
        <f>VLOOKUP($A241,'Pivot rīcības un objekti'!$A$4:$U$193,G$9,FALSE)</f>
        <v>#N/A</v>
      </c>
      <c r="H241" s="340" t="e">
        <f>VLOOKUP($A241,'Pivot rīcības un objekti'!$A$4:$U$193,H$9,FALSE)</f>
        <v>#N/A</v>
      </c>
      <c r="I241" s="340" t="e">
        <f>VLOOKUP($A241,'Pivot rīcības un objekti'!$A$4:$U$192,I$9,FALSE)</f>
        <v>#N/A</v>
      </c>
      <c r="J241" s="341" t="e">
        <f>VLOOKUP($A241,'Pivot rīcības un objekti'!$A$4:$U$192,J$9,FALSE)</f>
        <v>#N/A</v>
      </c>
      <c r="K241" s="342"/>
      <c r="L241" s="355" t="s">
        <v>349</v>
      </c>
      <c r="M241" s="340">
        <f>SUBTOTAL(109,M12:M238)</f>
        <v>54935120</v>
      </c>
      <c r="N241" s="343" t="e">
        <f>M241+#REF!</f>
        <v>#REF!</v>
      </c>
      <c r="O241" s="335"/>
    </row>
    <row r="243" spans="1:15">
      <c r="M243" s="357"/>
    </row>
    <row r="249" spans="1:15">
      <c r="N249" s="74">
        <f>SUM(M12:M238)</f>
        <v>54935120</v>
      </c>
    </row>
  </sheetData>
  <sortState xmlns:xlrd2="http://schemas.microsoft.com/office/spreadsheetml/2017/richdata2" ref="A12:O108">
    <sortCondition ref="L11"/>
  </sortState>
  <phoneticPr fontId="13" type="noConversion"/>
  <pageMargins left="0.7" right="0.7" top="0.75" bottom="0.75" header="0.3" footer="0.3"/>
  <pageSetup paperSize="9"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pageSetUpPr fitToPage="1"/>
  </sheetPr>
  <dimension ref="A1:AC234"/>
  <sheetViews>
    <sheetView view="pageBreakPreview" zoomScale="57" zoomScaleNormal="130" zoomScaleSheetLayoutView="55" workbookViewId="0">
      <pane xSplit="4" ySplit="4" topLeftCell="E43" activePane="bottomRight" state="frozen"/>
      <selection pane="bottomRight" activeCell="D45" sqref="D45"/>
      <selection pane="bottomLeft" activeCell="A5" sqref="A5"/>
      <selection pane="topRight" activeCell="E1" sqref="E1"/>
    </sheetView>
  </sheetViews>
  <sheetFormatPr defaultColWidth="15.140625" defaultRowHeight="82.9" customHeight="1"/>
  <cols>
    <col min="1" max="2" width="5.7109375" style="85" customWidth="1"/>
    <col min="3" max="3" width="15.140625" style="99"/>
    <col min="4" max="4" width="29.7109375" style="99" customWidth="1"/>
    <col min="5" max="5" width="15.140625" style="213" customWidth="1"/>
    <col min="6" max="6" width="15.140625" style="205" customWidth="1"/>
    <col min="7" max="7" width="15.140625" style="100" customWidth="1"/>
    <col min="8" max="8" width="24.140625" style="100" customWidth="1"/>
    <col min="9" max="9" width="13.42578125" style="100" customWidth="1"/>
    <col min="10" max="10" width="24.140625" style="99" customWidth="1"/>
    <col min="11" max="13" width="2.42578125" style="84" hidden="1" customWidth="1"/>
    <col min="14" max="14" width="4.28515625" style="84" hidden="1" customWidth="1"/>
    <col min="15" max="15" width="28.140625" style="99" customWidth="1"/>
    <col min="16" max="16" width="27.7109375" style="99" customWidth="1"/>
    <col min="17" max="17" width="23.42578125" style="99" customWidth="1"/>
    <col min="18" max="18" width="11.7109375" style="91" customWidth="1"/>
    <col min="19" max="19" width="11.7109375" style="102" customWidth="1"/>
    <col min="20" max="21" width="11.7109375" style="101" customWidth="1"/>
    <col min="22" max="22" width="11.7109375" style="82" customWidth="1"/>
    <col min="23" max="23" width="15.140625" style="83" customWidth="1"/>
    <col min="24" max="24" width="15.140625" style="82" customWidth="1"/>
    <col min="25" max="25" width="15.140625" style="84" customWidth="1"/>
    <col min="26" max="26" width="15.140625" style="107" customWidth="1"/>
    <col min="27" max="28" width="15.140625" style="106" customWidth="1"/>
    <col min="29" max="29" width="24.85546875" style="300" customWidth="1"/>
    <col min="30" max="16384" width="15.140625" style="84"/>
  </cols>
  <sheetData>
    <row r="1" spans="1:29" ht="33.4" customHeight="1">
      <c r="A1" s="85">
        <v>1</v>
      </c>
      <c r="B1" s="85" t="s">
        <v>350</v>
      </c>
      <c r="C1" s="84">
        <v>3</v>
      </c>
      <c r="D1" s="84">
        <v>4</v>
      </c>
      <c r="E1" s="205">
        <v>5</v>
      </c>
      <c r="F1" s="205">
        <v>6</v>
      </c>
      <c r="G1" s="84">
        <v>7</v>
      </c>
      <c r="H1" s="84"/>
      <c r="I1" s="84"/>
      <c r="J1" s="84">
        <v>8</v>
      </c>
      <c r="K1" s="84">
        <v>9</v>
      </c>
      <c r="L1" s="84">
        <v>10</v>
      </c>
      <c r="M1" s="84">
        <v>11</v>
      </c>
      <c r="N1" s="84">
        <v>12</v>
      </c>
      <c r="O1" s="85">
        <v>13</v>
      </c>
      <c r="P1" s="84">
        <v>14</v>
      </c>
      <c r="Q1" s="84">
        <v>15</v>
      </c>
      <c r="R1" s="84">
        <v>16</v>
      </c>
      <c r="S1" s="84">
        <v>17</v>
      </c>
      <c r="T1" s="84">
        <v>18</v>
      </c>
      <c r="U1" s="84">
        <v>19</v>
      </c>
      <c r="V1" s="84">
        <v>21</v>
      </c>
      <c r="W1" s="84">
        <v>22</v>
      </c>
      <c r="X1" s="84">
        <v>23</v>
      </c>
      <c r="Y1" s="84">
        <v>24</v>
      </c>
      <c r="Z1" s="107">
        <v>25</v>
      </c>
      <c r="AA1" s="107">
        <v>26</v>
      </c>
      <c r="AB1" s="107">
        <v>27</v>
      </c>
      <c r="AC1" s="300">
        <v>31</v>
      </c>
    </row>
    <row r="2" spans="1:29" s="77" customFormat="1" ht="33.4" customHeight="1">
      <c r="A2" s="78" t="s">
        <v>28</v>
      </c>
      <c r="B2" s="78"/>
      <c r="C2" s="71"/>
      <c r="D2" s="71"/>
      <c r="E2" s="206"/>
      <c r="F2" s="207"/>
      <c r="G2" s="79"/>
      <c r="H2" s="79"/>
      <c r="I2" s="79"/>
      <c r="J2" s="71"/>
      <c r="O2" s="71"/>
      <c r="P2" s="71"/>
      <c r="Q2" s="71"/>
      <c r="R2" s="72"/>
      <c r="S2" s="73"/>
      <c r="T2" s="70"/>
      <c r="U2" s="70"/>
      <c r="V2" s="80"/>
      <c r="W2" s="81"/>
      <c r="X2" s="80"/>
      <c r="Z2" s="108"/>
      <c r="AA2" s="103"/>
      <c r="AB2" s="103"/>
      <c r="AC2" s="301"/>
    </row>
    <row r="3" spans="1:29" ht="33.4" customHeight="1">
      <c r="A3" s="86" t="s">
        <v>314</v>
      </c>
      <c r="B3" s="86" t="s">
        <v>351</v>
      </c>
      <c r="C3" s="86" t="s">
        <v>352</v>
      </c>
      <c r="D3" s="86" t="s">
        <v>353</v>
      </c>
      <c r="E3" s="87" t="s">
        <v>354</v>
      </c>
      <c r="F3" s="86" t="s">
        <v>355</v>
      </c>
      <c r="G3" s="86" t="s">
        <v>356</v>
      </c>
      <c r="H3" s="86" t="s">
        <v>357</v>
      </c>
      <c r="I3" s="86" t="s">
        <v>358</v>
      </c>
      <c r="J3" s="86" t="s">
        <v>359</v>
      </c>
      <c r="K3" s="86" t="s">
        <v>360</v>
      </c>
      <c r="L3" s="86" t="s">
        <v>361</v>
      </c>
      <c r="M3" s="86" t="s">
        <v>362</v>
      </c>
      <c r="N3" s="86" t="s">
        <v>363</v>
      </c>
      <c r="O3" s="86" t="s">
        <v>364</v>
      </c>
      <c r="P3" s="86" t="s">
        <v>365</v>
      </c>
      <c r="Q3" s="86" t="s">
        <v>366</v>
      </c>
      <c r="R3" s="86" t="s">
        <v>367</v>
      </c>
      <c r="S3" s="88" t="s">
        <v>368</v>
      </c>
      <c r="T3" s="86" t="s">
        <v>369</v>
      </c>
      <c r="U3" s="86" t="s">
        <v>370</v>
      </c>
      <c r="V3" s="116" t="s">
        <v>371</v>
      </c>
      <c r="W3" s="65" t="s">
        <v>372</v>
      </c>
      <c r="X3" s="66" t="s">
        <v>373</v>
      </c>
      <c r="Y3" s="89" t="s">
        <v>374</v>
      </c>
      <c r="Z3" s="109" t="s">
        <v>375</v>
      </c>
      <c r="AA3" s="104" t="s">
        <v>376</v>
      </c>
      <c r="AB3" s="104" t="s">
        <v>377</v>
      </c>
      <c r="AC3" s="302" t="s">
        <v>378</v>
      </c>
    </row>
    <row r="4" spans="1:29" s="91" customFormat="1" ht="66.75" customHeight="1">
      <c r="A4" s="86" t="s">
        <v>379</v>
      </c>
      <c r="B4" s="86" t="s">
        <v>351</v>
      </c>
      <c r="C4" s="86" t="s">
        <v>352</v>
      </c>
      <c r="D4" s="86" t="s">
        <v>353</v>
      </c>
      <c r="E4" s="87" t="s">
        <v>354</v>
      </c>
      <c r="F4" s="86" t="s">
        <v>355</v>
      </c>
      <c r="G4" s="86" t="s">
        <v>356</v>
      </c>
      <c r="H4" s="86" t="s">
        <v>357</v>
      </c>
      <c r="I4" s="86" t="s">
        <v>358</v>
      </c>
      <c r="J4" s="86" t="s">
        <v>359</v>
      </c>
      <c r="K4" s="86" t="s">
        <v>360</v>
      </c>
      <c r="L4" s="86" t="s">
        <v>361</v>
      </c>
      <c r="M4" s="86" t="s">
        <v>362</v>
      </c>
      <c r="N4" s="86" t="s">
        <v>363</v>
      </c>
      <c r="O4" s="86" t="s">
        <v>364</v>
      </c>
      <c r="P4" s="86" t="s">
        <v>365</v>
      </c>
      <c r="Q4" s="86" t="s">
        <v>366</v>
      </c>
      <c r="R4" s="86" t="s">
        <v>367</v>
      </c>
      <c r="S4" s="88" t="s">
        <v>368</v>
      </c>
      <c r="T4" s="86" t="s">
        <v>369</v>
      </c>
      <c r="U4" s="86" t="s">
        <v>370</v>
      </c>
      <c r="V4" s="116" t="s">
        <v>380</v>
      </c>
      <c r="W4" s="65" t="s">
        <v>372</v>
      </c>
      <c r="X4" s="66" t="s">
        <v>373</v>
      </c>
      <c r="Y4" s="89" t="s">
        <v>381</v>
      </c>
      <c r="Z4" s="109" t="s">
        <v>375</v>
      </c>
      <c r="AA4" s="104" t="s">
        <v>376</v>
      </c>
      <c r="AB4" s="104" t="s">
        <v>377</v>
      </c>
      <c r="AC4" s="302" t="s">
        <v>382</v>
      </c>
    </row>
    <row r="5" spans="1:29" s="136" customFormat="1" ht="64.900000000000006" customHeight="1">
      <c r="A5" s="127" t="s">
        <v>166</v>
      </c>
      <c r="B5" s="127" t="s">
        <v>166</v>
      </c>
      <c r="C5" s="128" t="s">
        <v>348</v>
      </c>
      <c r="D5" s="129" t="s">
        <v>383</v>
      </c>
      <c r="E5" s="130" t="s">
        <v>384</v>
      </c>
      <c r="F5" s="147" t="s">
        <v>385</v>
      </c>
      <c r="G5" s="129" t="s">
        <v>386</v>
      </c>
      <c r="H5" s="129" t="s">
        <v>387</v>
      </c>
      <c r="I5" s="129"/>
      <c r="J5" s="129" t="s">
        <v>388</v>
      </c>
      <c r="K5" s="131" t="s">
        <v>389</v>
      </c>
      <c r="L5" s="131" t="s">
        <v>389</v>
      </c>
      <c r="M5" s="131" t="s">
        <v>389</v>
      </c>
      <c r="N5" s="131" t="s">
        <v>389</v>
      </c>
      <c r="O5" s="129" t="s">
        <v>390</v>
      </c>
      <c r="P5" s="129" t="s">
        <v>391</v>
      </c>
      <c r="Q5" s="129" t="s">
        <v>391</v>
      </c>
      <c r="R5" s="128">
        <v>12800</v>
      </c>
      <c r="S5" s="128" t="str">
        <f>IFERROR(VLOOKUP(Q5,'Veicamo darbu apraksts'!$B$2:$D$39,2,FALSE),"")</f>
        <v>m2</v>
      </c>
      <c r="T5" s="128">
        <f>IFERROR(VLOOKUP(Q5,'Veicamo darbu apraksts'!$B$2:$D$39,3,FALSE),"")</f>
        <v>50</v>
      </c>
      <c r="U5" s="129">
        <f t="shared" ref="U5:U24" si="0">IFERROR(R5*T5,0)</f>
        <v>640000</v>
      </c>
      <c r="V5" s="132">
        <v>4000</v>
      </c>
      <c r="W5" s="133">
        <v>0.1</v>
      </c>
      <c r="X5" s="132">
        <v>10</v>
      </c>
      <c r="Y5" s="126">
        <f>V5*W5*X5*12</f>
        <v>48000</v>
      </c>
      <c r="Z5" s="134">
        <f>V5*X5*12</f>
        <v>480000</v>
      </c>
      <c r="AA5" s="135">
        <f t="shared" ref="AA5:AA39" si="1">U5/Y5</f>
        <v>13.333333333333334</v>
      </c>
      <c r="AB5" s="135">
        <f t="shared" ref="AB5:AB39" si="2">U5/Z5</f>
        <v>1.3333333333333333</v>
      </c>
      <c r="AC5" s="303">
        <v>3</v>
      </c>
    </row>
    <row r="6" spans="1:29" s="136" customFormat="1" ht="97.15" customHeight="1">
      <c r="A6" s="127" t="s">
        <v>392</v>
      </c>
      <c r="B6" s="127" t="s">
        <v>184</v>
      </c>
      <c r="C6" s="128" t="s">
        <v>348</v>
      </c>
      <c r="D6" s="137" t="s">
        <v>393</v>
      </c>
      <c r="E6" s="130" t="s">
        <v>394</v>
      </c>
      <c r="F6" s="147" t="s">
        <v>385</v>
      </c>
      <c r="G6" s="129" t="s">
        <v>386</v>
      </c>
      <c r="H6" s="129"/>
      <c r="I6" s="129"/>
      <c r="J6" s="129" t="s">
        <v>388</v>
      </c>
      <c r="K6" s="131" t="s">
        <v>389</v>
      </c>
      <c r="L6" s="131" t="s">
        <v>389</v>
      </c>
      <c r="M6" s="138" t="s">
        <v>395</v>
      </c>
      <c r="N6" s="131" t="s">
        <v>389</v>
      </c>
      <c r="O6" s="129" t="s">
        <v>396</v>
      </c>
      <c r="P6" s="129" t="s">
        <v>397</v>
      </c>
      <c r="Q6" s="129" t="s">
        <v>398</v>
      </c>
      <c r="R6" s="128">
        <v>9000</v>
      </c>
      <c r="S6" s="128" t="str">
        <f>IFERROR(VLOOKUP(Q6,'Veicamo darbu apraksts'!$B$2:$D$39,2,FALSE),"")</f>
        <v>m2</v>
      </c>
      <c r="T6" s="128">
        <f>IFERROR(VLOOKUP(Q6,'Veicamo darbu apraksts'!$B$2:$D$39,3,FALSE),"")</f>
        <v>55</v>
      </c>
      <c r="U6" s="129">
        <f t="shared" si="0"/>
        <v>495000</v>
      </c>
      <c r="V6" s="132">
        <v>4000</v>
      </c>
      <c r="W6" s="133">
        <v>0.1</v>
      </c>
      <c r="X6" s="132">
        <v>10</v>
      </c>
      <c r="Y6" s="126">
        <f t="shared" ref="Y6:Y73" si="3">V6*W6*X6*12</f>
        <v>48000</v>
      </c>
      <c r="Z6" s="134">
        <f t="shared" ref="Z6:Z73" si="4">V6*X6*12</f>
        <v>480000</v>
      </c>
      <c r="AA6" s="135">
        <f t="shared" si="1"/>
        <v>10.3125</v>
      </c>
      <c r="AB6" s="135">
        <f t="shared" si="2"/>
        <v>1.03125</v>
      </c>
      <c r="AC6" s="303">
        <v>1</v>
      </c>
    </row>
    <row r="7" spans="1:29" s="136" customFormat="1" ht="26.45">
      <c r="A7" s="127" t="s">
        <v>392</v>
      </c>
      <c r="B7" s="127" t="s">
        <v>186</v>
      </c>
      <c r="C7" s="128" t="s">
        <v>348</v>
      </c>
      <c r="D7" s="137" t="s">
        <v>393</v>
      </c>
      <c r="E7" s="130" t="s">
        <v>394</v>
      </c>
      <c r="F7" s="147" t="s">
        <v>385</v>
      </c>
      <c r="G7" s="129" t="s">
        <v>386</v>
      </c>
      <c r="H7" s="129" t="s">
        <v>399</v>
      </c>
      <c r="I7" s="129"/>
      <c r="J7" s="129" t="s">
        <v>388</v>
      </c>
      <c r="K7" s="131" t="s">
        <v>389</v>
      </c>
      <c r="L7" s="131" t="s">
        <v>389</v>
      </c>
      <c r="M7" s="138" t="s">
        <v>395</v>
      </c>
      <c r="N7" s="131" t="s">
        <v>389</v>
      </c>
      <c r="O7" s="129" t="s">
        <v>400</v>
      </c>
      <c r="P7" s="129" t="s">
        <v>401</v>
      </c>
      <c r="Q7" s="129" t="s">
        <v>401</v>
      </c>
      <c r="R7" s="128">
        <v>1</v>
      </c>
      <c r="S7" s="128" t="str">
        <f>IFERROR(VLOOKUP(Q7,'Veicamo darbu apraksts'!$B$2:$D$39,2,FALSE),"")</f>
        <v>gab.</v>
      </c>
      <c r="T7" s="128">
        <f>IFERROR(VLOOKUP(Q7,'Veicamo darbu apraksts'!$B$2:$D$39,3,FALSE),"")</f>
        <v>7160</v>
      </c>
      <c r="U7" s="129">
        <f t="shared" si="0"/>
        <v>7160</v>
      </c>
      <c r="V7" s="132">
        <v>4000</v>
      </c>
      <c r="W7" s="133">
        <v>0.5</v>
      </c>
      <c r="X7" s="132">
        <v>5</v>
      </c>
      <c r="Y7" s="126">
        <f t="shared" si="3"/>
        <v>120000</v>
      </c>
      <c r="Z7" s="134">
        <f t="shared" si="4"/>
        <v>240000</v>
      </c>
      <c r="AA7" s="135">
        <f t="shared" si="1"/>
        <v>5.9666666666666666E-2</v>
      </c>
      <c r="AB7" s="135">
        <f t="shared" si="2"/>
        <v>2.9833333333333333E-2</v>
      </c>
      <c r="AC7" s="303">
        <v>1</v>
      </c>
    </row>
    <row r="8" spans="1:29" s="136" customFormat="1" ht="118.15" customHeight="1">
      <c r="A8" s="127" t="s">
        <v>402</v>
      </c>
      <c r="B8" s="127" t="s">
        <v>201</v>
      </c>
      <c r="C8" s="128" t="s">
        <v>348</v>
      </c>
      <c r="D8" s="137" t="s">
        <v>403</v>
      </c>
      <c r="E8" s="130">
        <v>80700081144</v>
      </c>
      <c r="F8" s="147" t="s">
        <v>385</v>
      </c>
      <c r="G8" s="129" t="s">
        <v>386</v>
      </c>
      <c r="H8" s="129"/>
      <c r="I8" s="129"/>
      <c r="J8" s="129" t="s">
        <v>388</v>
      </c>
      <c r="K8" s="138" t="s">
        <v>395</v>
      </c>
      <c r="L8" s="138" t="s">
        <v>395</v>
      </c>
      <c r="M8" s="139" t="s">
        <v>404</v>
      </c>
      <c r="N8" s="138" t="s">
        <v>395</v>
      </c>
      <c r="O8" s="129" t="s">
        <v>405</v>
      </c>
      <c r="P8" s="129" t="s">
        <v>406</v>
      </c>
      <c r="Q8" s="129" t="s">
        <v>391</v>
      </c>
      <c r="R8" s="128">
        <v>13000</v>
      </c>
      <c r="S8" s="128" t="str">
        <f>IFERROR(VLOOKUP(Q8,'Veicamo darbu apraksts'!$B$2:$D$39,2,FALSE),"")</f>
        <v>m2</v>
      </c>
      <c r="T8" s="128">
        <f>IFERROR(VLOOKUP(Q8,'Veicamo darbu apraksts'!$B$2:$D$39,3,FALSE),"")</f>
        <v>50</v>
      </c>
      <c r="U8" s="129">
        <f t="shared" si="0"/>
        <v>650000</v>
      </c>
      <c r="V8" s="132">
        <v>3000</v>
      </c>
      <c r="W8" s="133">
        <v>0.1</v>
      </c>
      <c r="X8" s="132">
        <v>8</v>
      </c>
      <c r="Y8" s="126">
        <f t="shared" si="3"/>
        <v>28800</v>
      </c>
      <c r="Z8" s="134">
        <f t="shared" si="4"/>
        <v>288000</v>
      </c>
      <c r="AA8" s="135">
        <f t="shared" si="1"/>
        <v>22.569444444444443</v>
      </c>
      <c r="AB8" s="135">
        <f t="shared" si="2"/>
        <v>2.2569444444444446</v>
      </c>
      <c r="AC8" s="304">
        <v>1</v>
      </c>
    </row>
    <row r="9" spans="1:29" s="136" customFormat="1" ht="109.9" customHeight="1">
      <c r="A9" s="127" t="s">
        <v>402</v>
      </c>
      <c r="B9" s="127" t="s">
        <v>203</v>
      </c>
      <c r="C9" s="128" t="s">
        <v>348</v>
      </c>
      <c r="D9" s="137" t="s">
        <v>403</v>
      </c>
      <c r="E9" s="128" t="s">
        <v>407</v>
      </c>
      <c r="F9" s="128" t="s">
        <v>385</v>
      </c>
      <c r="G9" s="129" t="s">
        <v>386</v>
      </c>
      <c r="H9" s="129" t="s">
        <v>408</v>
      </c>
      <c r="I9" s="364" t="s">
        <v>409</v>
      </c>
      <c r="J9" s="128" t="s">
        <v>388</v>
      </c>
      <c r="K9" s="128"/>
      <c r="L9" s="128"/>
      <c r="M9" s="128"/>
      <c r="N9" s="129"/>
      <c r="O9" s="129" t="s">
        <v>405</v>
      </c>
      <c r="P9" s="129" t="s">
        <v>401</v>
      </c>
      <c r="Q9" s="129" t="s">
        <v>401</v>
      </c>
      <c r="R9" s="128">
        <v>2</v>
      </c>
      <c r="S9" s="128" t="str">
        <f>IFERROR(VLOOKUP(Q9,'Veicamo darbu apraksts'!$B$2:$D$39,2,FALSE),"")</f>
        <v>gab.</v>
      </c>
      <c r="T9" s="128">
        <f>IFERROR(VLOOKUP(Q9,'Veicamo darbu apraksts'!$B$2:$D$39,3,FALSE),"")</f>
        <v>7160</v>
      </c>
      <c r="U9" s="365"/>
      <c r="V9" s="132">
        <v>800</v>
      </c>
      <c r="W9" s="133">
        <v>0.1</v>
      </c>
      <c r="X9" s="132">
        <v>10</v>
      </c>
      <c r="Y9" s="126">
        <f t="shared" si="3"/>
        <v>9600</v>
      </c>
      <c r="Z9" s="134">
        <f t="shared" si="4"/>
        <v>96000</v>
      </c>
      <c r="AA9" s="135">
        <f t="shared" si="1"/>
        <v>0</v>
      </c>
      <c r="AB9" s="135">
        <f t="shared" si="2"/>
        <v>0</v>
      </c>
      <c r="AC9" s="304">
        <v>1</v>
      </c>
    </row>
    <row r="10" spans="1:29" s="136" customFormat="1" ht="52.9">
      <c r="A10" s="127" t="s">
        <v>215</v>
      </c>
      <c r="B10" s="127" t="s">
        <v>215</v>
      </c>
      <c r="C10" s="128" t="s">
        <v>348</v>
      </c>
      <c r="D10" s="137" t="s">
        <v>410</v>
      </c>
      <c r="E10" s="130">
        <v>80700081522</v>
      </c>
      <c r="F10" s="147" t="s">
        <v>385</v>
      </c>
      <c r="G10" s="129" t="s">
        <v>386</v>
      </c>
      <c r="H10" s="129" t="s">
        <v>411</v>
      </c>
      <c r="I10" s="364" t="s">
        <v>409</v>
      </c>
      <c r="J10" s="129" t="s">
        <v>388</v>
      </c>
      <c r="K10" s="138" t="s">
        <v>395</v>
      </c>
      <c r="L10" s="131" t="s">
        <v>389</v>
      </c>
      <c r="M10" s="139" t="s">
        <v>404</v>
      </c>
      <c r="N10" s="131" t="s">
        <v>389</v>
      </c>
      <c r="O10" s="129" t="s">
        <v>412</v>
      </c>
      <c r="P10" s="129" t="s">
        <v>413</v>
      </c>
      <c r="Q10" s="129" t="s">
        <v>414</v>
      </c>
      <c r="R10" s="128">
        <v>5</v>
      </c>
      <c r="S10" s="128" t="str">
        <f>IFERROR(VLOOKUP(Q10,'Veicamo darbu apraksts'!$B$2:$D$39,2,FALSE),"")</f>
        <v>gab.</v>
      </c>
      <c r="T10" s="128">
        <f>IFERROR(VLOOKUP(Q10,'Veicamo darbu apraksts'!$B$2:$D$39,3,FALSE),"")</f>
        <v>450</v>
      </c>
      <c r="U10" s="365"/>
      <c r="V10" s="132">
        <v>1500</v>
      </c>
      <c r="W10" s="133">
        <v>0.1</v>
      </c>
      <c r="X10" s="132">
        <v>8</v>
      </c>
      <c r="Y10" s="126">
        <f t="shared" si="3"/>
        <v>14400</v>
      </c>
      <c r="Z10" s="134">
        <f t="shared" si="4"/>
        <v>144000</v>
      </c>
      <c r="AA10" s="135">
        <f t="shared" si="1"/>
        <v>0</v>
      </c>
      <c r="AB10" s="135">
        <f t="shared" si="2"/>
        <v>0</v>
      </c>
      <c r="AC10" s="303">
        <v>2</v>
      </c>
    </row>
    <row r="11" spans="1:29" s="136" customFormat="1" ht="39.6">
      <c r="A11" s="127" t="s">
        <v>227</v>
      </c>
      <c r="B11" s="127" t="s">
        <v>227</v>
      </c>
      <c r="C11" s="128" t="s">
        <v>348</v>
      </c>
      <c r="D11" s="137" t="s">
        <v>415</v>
      </c>
      <c r="E11" s="130" t="s">
        <v>416</v>
      </c>
      <c r="F11" s="147" t="s">
        <v>385</v>
      </c>
      <c r="G11" s="129" t="s">
        <v>386</v>
      </c>
      <c r="H11" s="129" t="s">
        <v>417</v>
      </c>
      <c r="I11" s="129"/>
      <c r="J11" s="129" t="s">
        <v>388</v>
      </c>
      <c r="K11" s="131" t="s">
        <v>389</v>
      </c>
      <c r="L11" s="131" t="s">
        <v>389</v>
      </c>
      <c r="M11" s="139" t="s">
        <v>404</v>
      </c>
      <c r="N11" s="138" t="s">
        <v>395</v>
      </c>
      <c r="O11" s="129" t="s">
        <v>418</v>
      </c>
      <c r="P11" s="129" t="s">
        <v>413</v>
      </c>
      <c r="Q11" s="129" t="s">
        <v>414</v>
      </c>
      <c r="R11" s="128">
        <v>10</v>
      </c>
      <c r="S11" s="128" t="str">
        <f>IFERROR(VLOOKUP(Q11,'Veicamo darbu apraksts'!$B$2:$D$39,2,FALSE),"")</f>
        <v>gab.</v>
      </c>
      <c r="T11" s="128">
        <f>IFERROR(VLOOKUP(Q11,'Veicamo darbu apraksts'!$B$2:$D$39,3,FALSE),"")</f>
        <v>450</v>
      </c>
      <c r="U11" s="129">
        <f t="shared" si="0"/>
        <v>4500</v>
      </c>
      <c r="V11" s="132">
        <v>1500</v>
      </c>
      <c r="W11" s="133">
        <v>0.1</v>
      </c>
      <c r="X11" s="132">
        <v>8</v>
      </c>
      <c r="Y11" s="126">
        <f t="shared" si="3"/>
        <v>14400</v>
      </c>
      <c r="Z11" s="134">
        <f t="shared" si="4"/>
        <v>144000</v>
      </c>
      <c r="AA11" s="135">
        <f t="shared" si="1"/>
        <v>0.3125</v>
      </c>
      <c r="AB11" s="135">
        <f t="shared" si="2"/>
        <v>3.125E-2</v>
      </c>
      <c r="AC11" s="303">
        <v>2</v>
      </c>
    </row>
    <row r="12" spans="1:29" s="136" customFormat="1" ht="83.65" customHeight="1">
      <c r="A12" s="127" t="s">
        <v>419</v>
      </c>
      <c r="B12" s="127" t="s">
        <v>230</v>
      </c>
      <c r="C12" s="128" t="s">
        <v>348</v>
      </c>
      <c r="D12" s="137" t="s">
        <v>420</v>
      </c>
      <c r="E12" s="130">
        <v>80700083312</v>
      </c>
      <c r="F12" s="147" t="s">
        <v>385</v>
      </c>
      <c r="G12" s="129" t="s">
        <v>386</v>
      </c>
      <c r="H12" s="129"/>
      <c r="I12" s="129"/>
      <c r="J12" s="137" t="s">
        <v>421</v>
      </c>
      <c r="K12" s="138" t="s">
        <v>395</v>
      </c>
      <c r="L12" s="138" t="s">
        <v>395</v>
      </c>
      <c r="M12" s="138" t="s">
        <v>395</v>
      </c>
      <c r="N12" s="138" t="s">
        <v>395</v>
      </c>
      <c r="O12" s="129" t="s">
        <v>422</v>
      </c>
      <c r="P12" s="129" t="s">
        <v>397</v>
      </c>
      <c r="Q12" s="129" t="s">
        <v>398</v>
      </c>
      <c r="R12" s="128">
        <v>20000</v>
      </c>
      <c r="S12" s="128" t="str">
        <f>IFERROR(VLOOKUP(Q12,'Veicamo darbu apraksts'!$B$2:$D$39,2,FALSE),"")</f>
        <v>m2</v>
      </c>
      <c r="T12" s="128">
        <f>IFERROR(VLOOKUP(Q12,'Veicamo darbu apraksts'!$B$2:$D$39,3,FALSE),"")</f>
        <v>55</v>
      </c>
      <c r="U12" s="129">
        <f t="shared" si="0"/>
        <v>1100000</v>
      </c>
      <c r="V12" s="132">
        <v>5000</v>
      </c>
      <c r="W12" s="133">
        <v>0.4</v>
      </c>
      <c r="X12" s="132">
        <v>2</v>
      </c>
      <c r="Y12" s="126">
        <f t="shared" si="3"/>
        <v>48000</v>
      </c>
      <c r="Z12" s="134">
        <f t="shared" si="4"/>
        <v>120000</v>
      </c>
      <c r="AA12" s="135">
        <f t="shared" si="1"/>
        <v>22.916666666666668</v>
      </c>
      <c r="AB12" s="135">
        <f t="shared" si="2"/>
        <v>9.1666666666666661</v>
      </c>
      <c r="AC12" s="303">
        <v>7</v>
      </c>
    </row>
    <row r="13" spans="1:29" s="136" customFormat="1" ht="84.4" customHeight="1">
      <c r="A13" s="127" t="s">
        <v>419</v>
      </c>
      <c r="B13" s="127" t="s">
        <v>231</v>
      </c>
      <c r="C13" s="128" t="s">
        <v>348</v>
      </c>
      <c r="D13" s="137" t="s">
        <v>420</v>
      </c>
      <c r="E13" s="130">
        <v>80700083312</v>
      </c>
      <c r="F13" s="147" t="s">
        <v>385</v>
      </c>
      <c r="G13" s="129" t="s">
        <v>386</v>
      </c>
      <c r="H13" s="129"/>
      <c r="I13" s="129"/>
      <c r="J13" s="137" t="s">
        <v>421</v>
      </c>
      <c r="K13" s="138" t="s">
        <v>395</v>
      </c>
      <c r="L13" s="138" t="s">
        <v>395</v>
      </c>
      <c r="M13" s="138" t="s">
        <v>395</v>
      </c>
      <c r="N13" s="138" t="s">
        <v>395</v>
      </c>
      <c r="O13" s="129" t="s">
        <v>422</v>
      </c>
      <c r="P13" s="129" t="s">
        <v>423</v>
      </c>
      <c r="Q13" s="129" t="s">
        <v>423</v>
      </c>
      <c r="R13" s="128">
        <v>5</v>
      </c>
      <c r="S13" s="128" t="str">
        <f>IFERROR(VLOOKUP(Q13,'Veicamo darbu apraksts'!$B$2:$D$39,2,FALSE),"")</f>
        <v>gab.</v>
      </c>
      <c r="T13" s="128">
        <f>IFERROR(VLOOKUP(Q13,'Veicamo darbu apraksts'!$B$2:$D$39,3,FALSE),"")</f>
        <v>2765</v>
      </c>
      <c r="U13" s="129">
        <f t="shared" si="0"/>
        <v>13825</v>
      </c>
      <c r="V13" s="132">
        <v>1000</v>
      </c>
      <c r="W13" s="133">
        <v>1</v>
      </c>
      <c r="X13" s="132">
        <v>10</v>
      </c>
      <c r="Y13" s="126">
        <f t="shared" si="3"/>
        <v>120000</v>
      </c>
      <c r="Z13" s="134">
        <f t="shared" si="4"/>
        <v>120000</v>
      </c>
      <c r="AA13" s="135">
        <f t="shared" si="1"/>
        <v>0.11520833333333333</v>
      </c>
      <c r="AB13" s="135">
        <f t="shared" si="2"/>
        <v>0.11520833333333333</v>
      </c>
      <c r="AC13" s="303">
        <v>7</v>
      </c>
    </row>
    <row r="14" spans="1:29" s="136" customFormat="1" ht="52.9">
      <c r="A14" s="127" t="s">
        <v>236</v>
      </c>
      <c r="B14" s="127" t="s">
        <v>236</v>
      </c>
      <c r="C14" s="128" t="s">
        <v>348</v>
      </c>
      <c r="D14" s="129" t="s">
        <v>424</v>
      </c>
      <c r="E14" s="130">
        <v>80700082650</v>
      </c>
      <c r="F14" s="147" t="s">
        <v>425</v>
      </c>
      <c r="G14" s="129" t="s">
        <v>386</v>
      </c>
      <c r="H14" s="129" t="s">
        <v>426</v>
      </c>
      <c r="I14" s="129"/>
      <c r="J14" s="137" t="s">
        <v>421</v>
      </c>
      <c r="K14" s="138" t="s">
        <v>395</v>
      </c>
      <c r="L14" s="138" t="s">
        <v>395</v>
      </c>
      <c r="M14" s="139" t="s">
        <v>404</v>
      </c>
      <c r="N14" s="138" t="s">
        <v>395</v>
      </c>
      <c r="O14" s="129" t="s">
        <v>427</v>
      </c>
      <c r="P14" s="260" t="s">
        <v>428</v>
      </c>
      <c r="Q14" s="129" t="s">
        <v>398</v>
      </c>
      <c r="R14" s="128">
        <v>2500</v>
      </c>
      <c r="S14" s="128" t="str">
        <f>IFERROR(VLOOKUP(Q14,'Veicamo darbu apraksts'!$B$2:$D$39,2,FALSE),"")</f>
        <v>m2</v>
      </c>
      <c r="T14" s="128">
        <f>IFERROR(VLOOKUP(Q14,'Veicamo darbu apraksts'!$B$2:$D$39,3,FALSE),"")</f>
        <v>55</v>
      </c>
      <c r="U14" s="129">
        <f t="shared" si="0"/>
        <v>137500</v>
      </c>
      <c r="V14" s="132">
        <v>5500</v>
      </c>
      <c r="W14" s="133">
        <v>1</v>
      </c>
      <c r="X14" s="132">
        <v>5</v>
      </c>
      <c r="Y14" s="126">
        <f t="shared" si="3"/>
        <v>330000</v>
      </c>
      <c r="Z14" s="134">
        <f t="shared" si="4"/>
        <v>330000</v>
      </c>
      <c r="AA14" s="135">
        <f t="shared" si="1"/>
        <v>0.41666666666666669</v>
      </c>
      <c r="AB14" s="135">
        <f t="shared" si="2"/>
        <v>0.41666666666666669</v>
      </c>
      <c r="AC14" s="303">
        <v>2</v>
      </c>
    </row>
    <row r="15" spans="1:29" s="136" customFormat="1" ht="39.6">
      <c r="A15" s="127" t="s">
        <v>237</v>
      </c>
      <c r="B15" s="127" t="s">
        <v>237</v>
      </c>
      <c r="C15" s="128" t="s">
        <v>348</v>
      </c>
      <c r="D15" s="129" t="s">
        <v>429</v>
      </c>
      <c r="E15" s="130">
        <v>80700082651</v>
      </c>
      <c r="F15" s="147" t="s">
        <v>385</v>
      </c>
      <c r="G15" s="129" t="s">
        <v>386</v>
      </c>
      <c r="H15" s="129" t="s">
        <v>430</v>
      </c>
      <c r="I15" s="364" t="s">
        <v>409</v>
      </c>
      <c r="J15" s="137" t="s">
        <v>421</v>
      </c>
      <c r="K15" s="138" t="s">
        <v>395</v>
      </c>
      <c r="L15" s="138" t="s">
        <v>395</v>
      </c>
      <c r="M15" s="131" t="s">
        <v>389</v>
      </c>
      <c r="N15" s="131" t="s">
        <v>389</v>
      </c>
      <c r="O15" s="129" t="s">
        <v>427</v>
      </c>
      <c r="P15" s="129" t="s">
        <v>397</v>
      </c>
      <c r="Q15" s="129" t="s">
        <v>398</v>
      </c>
      <c r="R15" s="128">
        <v>34000</v>
      </c>
      <c r="S15" s="128" t="str">
        <f>IFERROR(VLOOKUP(Q15,'Veicamo darbu apraksts'!$B$2:$D$39,2,FALSE),"")</f>
        <v>m2</v>
      </c>
      <c r="T15" s="128">
        <f>IFERROR(VLOOKUP(Q15,'Veicamo darbu apraksts'!$B$2:$D$39,3,FALSE),"")</f>
        <v>55</v>
      </c>
      <c r="U15" s="365"/>
      <c r="V15" s="132">
        <v>5500</v>
      </c>
      <c r="W15" s="133">
        <v>1</v>
      </c>
      <c r="X15" s="132">
        <v>5</v>
      </c>
      <c r="Y15" s="126">
        <f t="shared" si="3"/>
        <v>330000</v>
      </c>
      <c r="Z15" s="134">
        <f t="shared" si="4"/>
        <v>330000</v>
      </c>
      <c r="AA15" s="135">
        <f t="shared" si="1"/>
        <v>0</v>
      </c>
      <c r="AB15" s="135">
        <f t="shared" si="2"/>
        <v>0</v>
      </c>
      <c r="AC15" s="303">
        <v>2</v>
      </c>
    </row>
    <row r="16" spans="1:29" s="136" customFormat="1" ht="66">
      <c r="A16" s="127" t="s">
        <v>431</v>
      </c>
      <c r="B16" s="127" t="s">
        <v>167</v>
      </c>
      <c r="C16" s="128" t="s">
        <v>348</v>
      </c>
      <c r="D16" s="129" t="s">
        <v>432</v>
      </c>
      <c r="E16" s="130">
        <v>80700082647</v>
      </c>
      <c r="F16" s="147" t="s">
        <v>425</v>
      </c>
      <c r="G16" s="129" t="s">
        <v>386</v>
      </c>
      <c r="H16" s="141" t="s">
        <v>433</v>
      </c>
      <c r="I16" s="129"/>
      <c r="J16" s="129" t="s">
        <v>434</v>
      </c>
      <c r="K16" s="138" t="s">
        <v>395</v>
      </c>
      <c r="L16" s="139" t="s">
        <v>404</v>
      </c>
      <c r="M16" s="139" t="s">
        <v>404</v>
      </c>
      <c r="N16" s="131" t="s">
        <v>389</v>
      </c>
      <c r="O16" s="129" t="s">
        <v>435</v>
      </c>
      <c r="P16" s="129" t="s">
        <v>436</v>
      </c>
      <c r="Q16" s="129" t="s">
        <v>398</v>
      </c>
      <c r="R16" s="128">
        <v>5000</v>
      </c>
      <c r="S16" s="128" t="str">
        <f>IFERROR(VLOOKUP(Q16,'Veicamo darbu apraksts'!$B$2:$D$39,2,FALSE),"")</f>
        <v>m2</v>
      </c>
      <c r="T16" s="128">
        <f>IFERROR(VLOOKUP(Q16,'Veicamo darbu apraksts'!$B$2:$D$39,3,FALSE),"")</f>
        <v>55</v>
      </c>
      <c r="U16" s="129">
        <f t="shared" si="0"/>
        <v>275000</v>
      </c>
      <c r="V16" s="132">
        <v>5500</v>
      </c>
      <c r="W16" s="133">
        <v>1</v>
      </c>
      <c r="X16" s="132">
        <v>5</v>
      </c>
      <c r="Y16" s="126">
        <f t="shared" si="3"/>
        <v>330000</v>
      </c>
      <c r="Z16" s="134">
        <f t="shared" si="4"/>
        <v>330000</v>
      </c>
      <c r="AA16" s="135">
        <f t="shared" si="1"/>
        <v>0.83333333333333337</v>
      </c>
      <c r="AB16" s="135">
        <f t="shared" si="2"/>
        <v>0.83333333333333337</v>
      </c>
      <c r="AC16" s="303">
        <v>3</v>
      </c>
    </row>
    <row r="17" spans="1:29" s="136" customFormat="1" ht="66">
      <c r="A17" s="127" t="s">
        <v>431</v>
      </c>
      <c r="B17" s="127" t="s">
        <v>168</v>
      </c>
      <c r="C17" s="128" t="s">
        <v>348</v>
      </c>
      <c r="D17" s="129" t="s">
        <v>432</v>
      </c>
      <c r="E17" s="130">
        <v>80700082647</v>
      </c>
      <c r="F17" s="147" t="s">
        <v>425</v>
      </c>
      <c r="G17" s="129" t="s">
        <v>386</v>
      </c>
      <c r="H17" s="129" t="s">
        <v>437</v>
      </c>
      <c r="I17" s="364" t="s">
        <v>409</v>
      </c>
      <c r="J17" s="129" t="s">
        <v>434</v>
      </c>
      <c r="K17" s="138" t="s">
        <v>395</v>
      </c>
      <c r="L17" s="139" t="s">
        <v>404</v>
      </c>
      <c r="M17" s="139" t="s">
        <v>404</v>
      </c>
      <c r="N17" s="131" t="s">
        <v>389</v>
      </c>
      <c r="O17" s="129" t="s">
        <v>435</v>
      </c>
      <c r="P17" s="129" t="s">
        <v>438</v>
      </c>
      <c r="Q17" s="129" t="s">
        <v>439</v>
      </c>
      <c r="R17" s="128">
        <v>200</v>
      </c>
      <c r="S17" s="128" t="str">
        <f>IFERROR(VLOOKUP(Q17,'Veicamo darbu apraksts'!$B$2:$D$39,2,FALSE),"")</f>
        <v>m2</v>
      </c>
      <c r="T17" s="128">
        <f>IFERROR(VLOOKUP(Q17,'Veicamo darbu apraksts'!$B$2:$D$39,3,FALSE),"")</f>
        <v>75</v>
      </c>
      <c r="U17" s="365"/>
      <c r="V17" s="132">
        <v>800</v>
      </c>
      <c r="W17" s="133">
        <v>1</v>
      </c>
      <c r="X17" s="132">
        <v>6</v>
      </c>
      <c r="Y17" s="126">
        <f t="shared" si="3"/>
        <v>57600</v>
      </c>
      <c r="Z17" s="134">
        <f t="shared" si="4"/>
        <v>57600</v>
      </c>
      <c r="AA17" s="135">
        <f t="shared" si="1"/>
        <v>0</v>
      </c>
      <c r="AB17" s="135">
        <f t="shared" si="2"/>
        <v>0</v>
      </c>
      <c r="AC17" s="303">
        <v>3</v>
      </c>
    </row>
    <row r="18" spans="1:29" s="136" customFormat="1" ht="52.9">
      <c r="A18" s="127" t="s">
        <v>169</v>
      </c>
      <c r="B18" s="127" t="s">
        <v>169</v>
      </c>
      <c r="C18" s="128" t="s">
        <v>348</v>
      </c>
      <c r="D18" s="129" t="s">
        <v>440</v>
      </c>
      <c r="E18" s="130" t="s">
        <v>441</v>
      </c>
      <c r="F18" s="147" t="s">
        <v>442</v>
      </c>
      <c r="G18" s="129" t="s">
        <v>386</v>
      </c>
      <c r="H18" s="129" t="s">
        <v>443</v>
      </c>
      <c r="I18" s="365" t="s">
        <v>444</v>
      </c>
      <c r="J18" s="129" t="s">
        <v>388</v>
      </c>
      <c r="K18" s="131" t="s">
        <v>389</v>
      </c>
      <c r="L18" s="138" t="s">
        <v>395</v>
      </c>
      <c r="M18" s="139" t="s">
        <v>404</v>
      </c>
      <c r="N18" s="138" t="s">
        <v>395</v>
      </c>
      <c r="O18" s="129" t="s">
        <v>445</v>
      </c>
      <c r="P18" s="129" t="s">
        <v>413</v>
      </c>
      <c r="Q18" s="129" t="s">
        <v>414</v>
      </c>
      <c r="R18" s="128">
        <v>5</v>
      </c>
      <c r="S18" s="128" t="str">
        <f>IFERROR(VLOOKUP(Q18,'Veicamo darbu apraksts'!$B$2:$D$39,2,FALSE),"")</f>
        <v>gab.</v>
      </c>
      <c r="T18" s="128">
        <f>IFERROR(VLOOKUP(Q18,'Veicamo darbu apraksts'!$B$2:$D$39,3,FALSE),"")</f>
        <v>450</v>
      </c>
      <c r="U18" s="365"/>
      <c r="V18" s="132">
        <v>1500</v>
      </c>
      <c r="W18" s="133">
        <v>0.1</v>
      </c>
      <c r="X18" s="132">
        <v>8</v>
      </c>
      <c r="Y18" s="126">
        <f t="shared" si="3"/>
        <v>14400</v>
      </c>
      <c r="Z18" s="134">
        <f t="shared" si="4"/>
        <v>144000</v>
      </c>
      <c r="AA18" s="135">
        <f t="shared" si="1"/>
        <v>0</v>
      </c>
      <c r="AB18" s="135">
        <f t="shared" si="2"/>
        <v>0</v>
      </c>
      <c r="AC18" s="303">
        <v>3</v>
      </c>
    </row>
    <row r="19" spans="1:29" s="136" customFormat="1" ht="103.15" customHeight="1">
      <c r="A19" s="127" t="s">
        <v>170</v>
      </c>
      <c r="B19" s="127" t="s">
        <v>170</v>
      </c>
      <c r="C19" s="128" t="s">
        <v>348</v>
      </c>
      <c r="D19" s="129" t="s">
        <v>446</v>
      </c>
      <c r="E19" s="130">
        <v>80700080967</v>
      </c>
      <c r="F19" s="147" t="s">
        <v>442</v>
      </c>
      <c r="G19" s="129" t="s">
        <v>386</v>
      </c>
      <c r="H19" s="129"/>
      <c r="I19" s="364" t="s">
        <v>444</v>
      </c>
      <c r="J19" s="129" t="s">
        <v>447</v>
      </c>
      <c r="K19" s="131" t="s">
        <v>389</v>
      </c>
      <c r="L19" s="131" t="s">
        <v>389</v>
      </c>
      <c r="M19" s="131" t="s">
        <v>389</v>
      </c>
      <c r="N19" s="138" t="s">
        <v>395</v>
      </c>
      <c r="O19" s="129" t="s">
        <v>448</v>
      </c>
      <c r="P19" s="129" t="s">
        <v>449</v>
      </c>
      <c r="Q19" s="129" t="s">
        <v>450</v>
      </c>
      <c r="R19" s="128">
        <v>1</v>
      </c>
      <c r="S19" s="128" t="str">
        <f>IFERROR(VLOOKUP(Q19,'Veicamo darbu apraksts'!$B$2:$D$39,2,FALSE),"")</f>
        <v>gab.</v>
      </c>
      <c r="T19" s="128">
        <f>IFERROR(VLOOKUP(Q19,'Veicamo darbu apraksts'!$B$2:$D$39,3,FALSE),"")</f>
        <v>90</v>
      </c>
      <c r="U19" s="365"/>
      <c r="V19" s="132">
        <v>200</v>
      </c>
      <c r="W19" s="133">
        <v>0.25</v>
      </c>
      <c r="X19" s="132">
        <v>4</v>
      </c>
      <c r="Y19" s="126">
        <f>V20*W20*X20*12</f>
        <v>9000</v>
      </c>
      <c r="Z19" s="134">
        <f>V20*X20*12</f>
        <v>6000</v>
      </c>
      <c r="AA19" s="135">
        <f t="shared" si="1"/>
        <v>0</v>
      </c>
      <c r="AB19" s="135">
        <f t="shared" si="2"/>
        <v>0</v>
      </c>
      <c r="AC19" s="303">
        <v>7</v>
      </c>
    </row>
    <row r="20" spans="1:29" s="136" customFormat="1" ht="99" customHeight="1">
      <c r="A20" s="127" t="s">
        <v>173</v>
      </c>
      <c r="B20" s="127" t="s">
        <v>173</v>
      </c>
      <c r="C20" s="128" t="s">
        <v>348</v>
      </c>
      <c r="D20" s="129" t="s">
        <v>451</v>
      </c>
      <c r="E20" s="130">
        <v>80700081121</v>
      </c>
      <c r="F20" s="147" t="s">
        <v>385</v>
      </c>
      <c r="G20" s="129" t="s">
        <v>386</v>
      </c>
      <c r="H20" s="129" t="s">
        <v>452</v>
      </c>
      <c r="I20" s="365" t="s">
        <v>453</v>
      </c>
      <c r="J20" s="137" t="s">
        <v>454</v>
      </c>
      <c r="K20" s="138" t="s">
        <v>395</v>
      </c>
      <c r="L20" s="131" t="s">
        <v>389</v>
      </c>
      <c r="M20" s="138" t="s">
        <v>395</v>
      </c>
      <c r="N20" s="138" t="s">
        <v>395</v>
      </c>
      <c r="O20" s="129" t="s">
        <v>455</v>
      </c>
      <c r="P20" s="129" t="s">
        <v>406</v>
      </c>
      <c r="Q20" s="129" t="s">
        <v>391</v>
      </c>
      <c r="R20" s="128">
        <v>400</v>
      </c>
      <c r="S20" s="128" t="str">
        <f>IFERROR(VLOOKUP(Q20,'Veicamo darbu apraksts'!$B$2:$D$39,2,FALSE),"")</f>
        <v>m2</v>
      </c>
      <c r="T20" s="128">
        <f>IFERROR(VLOOKUP(Q20,'Veicamo darbu apraksts'!$B$2:$D$39,3,FALSE),"")</f>
        <v>50</v>
      </c>
      <c r="U20" s="365"/>
      <c r="V20" s="132">
        <v>1000</v>
      </c>
      <c r="W20" s="133">
        <v>1.5</v>
      </c>
      <c r="X20" s="132">
        <v>0.5</v>
      </c>
      <c r="Y20" s="126">
        <f t="shared" ref="Y20" si="5">V20*W20*X20*12</f>
        <v>9000</v>
      </c>
      <c r="Z20" s="134">
        <f t="shared" ref="Z20" si="6">V20*X20*12</f>
        <v>6000</v>
      </c>
      <c r="AA20" s="135">
        <f t="shared" si="1"/>
        <v>0</v>
      </c>
      <c r="AB20" s="135">
        <f t="shared" si="2"/>
        <v>0</v>
      </c>
      <c r="AC20" s="303">
        <v>7</v>
      </c>
    </row>
    <row r="21" spans="1:29" s="136" customFormat="1" ht="66">
      <c r="A21" s="127" t="s">
        <v>174</v>
      </c>
      <c r="B21" s="127" t="s">
        <v>174</v>
      </c>
      <c r="C21" s="128" t="s">
        <v>348</v>
      </c>
      <c r="D21" s="129" t="s">
        <v>456</v>
      </c>
      <c r="E21" s="130">
        <v>80700081121</v>
      </c>
      <c r="F21" s="147" t="s">
        <v>385</v>
      </c>
      <c r="G21" s="129" t="s">
        <v>386</v>
      </c>
      <c r="H21" s="129"/>
      <c r="I21" s="365" t="s">
        <v>409</v>
      </c>
      <c r="J21" s="137" t="s">
        <v>454</v>
      </c>
      <c r="K21" s="138" t="s">
        <v>395</v>
      </c>
      <c r="L21" s="131" t="s">
        <v>389</v>
      </c>
      <c r="M21" s="138" t="s">
        <v>395</v>
      </c>
      <c r="N21" s="138" t="s">
        <v>395</v>
      </c>
      <c r="O21" s="129" t="s">
        <v>457</v>
      </c>
      <c r="P21" s="129" t="s">
        <v>450</v>
      </c>
      <c r="Q21" s="129" t="s">
        <v>450</v>
      </c>
      <c r="R21" s="128">
        <v>2</v>
      </c>
      <c r="S21" s="128" t="str">
        <f>IFERROR(VLOOKUP(Q21,'Veicamo darbu apraksts'!$B$2:$D$39,2,FALSE),"")</f>
        <v>gab.</v>
      </c>
      <c r="T21" s="128">
        <f>IFERROR(VLOOKUP(Q21,'Veicamo darbu apraksts'!$B$2:$D$39,3,FALSE),"")</f>
        <v>90</v>
      </c>
      <c r="U21" s="365"/>
      <c r="V21" s="132">
        <v>1000</v>
      </c>
      <c r="W21" s="133">
        <v>0.01</v>
      </c>
      <c r="X21" s="132">
        <v>0.5</v>
      </c>
      <c r="Y21" s="126">
        <f t="shared" si="3"/>
        <v>60</v>
      </c>
      <c r="Z21" s="134">
        <f t="shared" si="4"/>
        <v>6000</v>
      </c>
      <c r="AA21" s="135">
        <f t="shared" si="1"/>
        <v>0</v>
      </c>
      <c r="AB21" s="135">
        <f>U21/Z21</f>
        <v>0</v>
      </c>
      <c r="AC21" s="303">
        <v>2</v>
      </c>
    </row>
    <row r="22" spans="1:29" s="136" customFormat="1" ht="79.150000000000006">
      <c r="A22" s="127" t="s">
        <v>458</v>
      </c>
      <c r="B22" s="127" t="s">
        <v>175</v>
      </c>
      <c r="C22" s="128" t="s">
        <v>348</v>
      </c>
      <c r="D22" s="129" t="s">
        <v>459</v>
      </c>
      <c r="E22" s="130">
        <v>80700081450</v>
      </c>
      <c r="F22" s="147" t="s">
        <v>385</v>
      </c>
      <c r="G22" s="129" t="s">
        <v>386</v>
      </c>
      <c r="H22" s="129" t="s">
        <v>460</v>
      </c>
      <c r="I22" s="364" t="s">
        <v>409</v>
      </c>
      <c r="J22" s="129" t="s">
        <v>388</v>
      </c>
      <c r="K22" s="131" t="s">
        <v>389</v>
      </c>
      <c r="L22" s="131" t="s">
        <v>389</v>
      </c>
      <c r="M22" s="139" t="s">
        <v>404</v>
      </c>
      <c r="N22" s="131" t="s">
        <v>389</v>
      </c>
      <c r="O22" s="129" t="s">
        <v>461</v>
      </c>
      <c r="P22" s="129" t="s">
        <v>462</v>
      </c>
      <c r="Q22" s="129" t="s">
        <v>463</v>
      </c>
      <c r="R22" s="128">
        <v>2000</v>
      </c>
      <c r="S22" s="128" t="str">
        <f>IFERROR(VLOOKUP(Q22,'Veicamo darbu apraksts'!$B$2:$D$39,2,FALSE),"")</f>
        <v>m2</v>
      </c>
      <c r="T22" s="128">
        <f>IFERROR(VLOOKUP(Q22,'Veicamo darbu apraksts'!$B$2:$D$39,3,FALSE),"")</f>
        <v>50</v>
      </c>
      <c r="U22" s="365"/>
      <c r="V22" s="132">
        <v>500</v>
      </c>
      <c r="W22" s="133">
        <v>0.15</v>
      </c>
      <c r="X22" s="132">
        <v>15</v>
      </c>
      <c r="Y22" s="126">
        <f t="shared" si="3"/>
        <v>13500</v>
      </c>
      <c r="Z22" s="134">
        <f t="shared" si="4"/>
        <v>90000</v>
      </c>
      <c r="AA22" s="135">
        <f t="shared" si="1"/>
        <v>0</v>
      </c>
      <c r="AB22" s="135">
        <f t="shared" si="2"/>
        <v>0</v>
      </c>
      <c r="AC22" s="303">
        <v>1</v>
      </c>
    </row>
    <row r="23" spans="1:29" s="136" customFormat="1" ht="79.150000000000006">
      <c r="A23" s="127" t="s">
        <v>458</v>
      </c>
      <c r="B23" s="127" t="s">
        <v>176</v>
      </c>
      <c r="C23" s="128" t="s">
        <v>348</v>
      </c>
      <c r="D23" s="129" t="s">
        <v>459</v>
      </c>
      <c r="E23" s="130">
        <v>80700081450</v>
      </c>
      <c r="F23" s="147" t="s">
        <v>385</v>
      </c>
      <c r="G23" s="129" t="s">
        <v>386</v>
      </c>
      <c r="H23" s="129"/>
      <c r="I23" s="129"/>
      <c r="J23" s="129" t="s">
        <v>388</v>
      </c>
      <c r="K23" s="131" t="s">
        <v>389</v>
      </c>
      <c r="L23" s="131" t="s">
        <v>389</v>
      </c>
      <c r="M23" s="139" t="s">
        <v>404</v>
      </c>
      <c r="N23" s="131" t="s">
        <v>389</v>
      </c>
      <c r="O23" s="129" t="s">
        <v>461</v>
      </c>
      <c r="P23" s="129" t="s">
        <v>423</v>
      </c>
      <c r="Q23" s="129" t="s">
        <v>423</v>
      </c>
      <c r="R23" s="128">
        <v>1</v>
      </c>
      <c r="S23" s="128" t="str">
        <f>IFERROR(VLOOKUP(Q23,'Veicamo darbu apraksts'!$B$2:$D$39,2,FALSE),"")</f>
        <v>gab.</v>
      </c>
      <c r="T23" s="128">
        <f>IFERROR(VLOOKUP(Q23,'Veicamo darbu apraksts'!$B$2:$D$39,3,FALSE),"")</f>
        <v>2765</v>
      </c>
      <c r="U23" s="129">
        <f t="shared" si="0"/>
        <v>2765</v>
      </c>
      <c r="V23" s="132">
        <v>500</v>
      </c>
      <c r="W23" s="133">
        <v>0.15</v>
      </c>
      <c r="X23" s="132">
        <v>15</v>
      </c>
      <c r="Y23" s="126">
        <f t="shared" ref="Y23" si="7">V23*W23*X23*12</f>
        <v>13500</v>
      </c>
      <c r="Z23" s="134">
        <f t="shared" ref="Z23" si="8">V23*X23*12</f>
        <v>90000</v>
      </c>
      <c r="AA23" s="135">
        <f t="shared" si="1"/>
        <v>0.20481481481481481</v>
      </c>
      <c r="AB23" s="135">
        <f t="shared" si="2"/>
        <v>3.0722222222222224E-2</v>
      </c>
      <c r="AC23" s="303">
        <v>1</v>
      </c>
    </row>
    <row r="24" spans="1:29" s="136" customFormat="1" ht="39.6">
      <c r="A24" s="127" t="s">
        <v>177</v>
      </c>
      <c r="B24" s="127" t="s">
        <v>177</v>
      </c>
      <c r="C24" s="128" t="s">
        <v>348</v>
      </c>
      <c r="D24" s="129" t="s">
        <v>464</v>
      </c>
      <c r="E24" s="130">
        <v>80700081740</v>
      </c>
      <c r="F24" s="147" t="s">
        <v>385</v>
      </c>
      <c r="G24" s="129" t="s">
        <v>386</v>
      </c>
      <c r="H24" s="129" t="s">
        <v>465</v>
      </c>
      <c r="I24" s="129"/>
      <c r="J24" s="129" t="s">
        <v>388</v>
      </c>
      <c r="K24" s="138" t="s">
        <v>395</v>
      </c>
      <c r="L24" s="138" t="s">
        <v>395</v>
      </c>
      <c r="M24" s="139" t="s">
        <v>404</v>
      </c>
      <c r="N24" s="138" t="s">
        <v>395</v>
      </c>
      <c r="O24" s="129" t="s">
        <v>466</v>
      </c>
      <c r="P24" s="129" t="s">
        <v>467</v>
      </c>
      <c r="Q24" s="129" t="s">
        <v>467</v>
      </c>
      <c r="R24" s="128">
        <v>2</v>
      </c>
      <c r="S24" s="128" t="str">
        <f>IFERROR(VLOOKUP(Q24,'Veicamo darbu apraksts'!$B$2:$D$39,2,FALSE),"")</f>
        <v>gab.</v>
      </c>
      <c r="T24" s="128">
        <f>IFERROR(VLOOKUP(Q24,'Veicamo darbu apraksts'!$B$2:$D$39,3,FALSE),"")</f>
        <v>3150</v>
      </c>
      <c r="U24" s="129">
        <f t="shared" si="0"/>
        <v>6300</v>
      </c>
      <c r="V24" s="132">
        <v>4800</v>
      </c>
      <c r="W24" s="133">
        <v>0.2</v>
      </c>
      <c r="X24" s="132">
        <v>8</v>
      </c>
      <c r="Y24" s="126">
        <f t="shared" si="3"/>
        <v>92160</v>
      </c>
      <c r="Z24" s="134">
        <f t="shared" si="4"/>
        <v>460800</v>
      </c>
      <c r="AA24" s="135">
        <f t="shared" si="1"/>
        <v>6.8359375E-2</v>
      </c>
      <c r="AB24" s="135">
        <f t="shared" si="2"/>
        <v>1.3671875E-2</v>
      </c>
      <c r="AC24" s="303">
        <v>1</v>
      </c>
    </row>
    <row r="25" spans="1:29" s="136" customFormat="1" ht="79.150000000000006">
      <c r="A25" s="127" t="s">
        <v>178</v>
      </c>
      <c r="B25" s="127" t="s">
        <v>178</v>
      </c>
      <c r="C25" s="128" t="s">
        <v>348</v>
      </c>
      <c r="D25" s="129" t="s">
        <v>468</v>
      </c>
      <c r="E25" s="130">
        <v>80700082376</v>
      </c>
      <c r="F25" s="147" t="s">
        <v>385</v>
      </c>
      <c r="G25" s="129" t="s">
        <v>386</v>
      </c>
      <c r="H25" s="129"/>
      <c r="I25" s="129"/>
      <c r="J25" s="129" t="s">
        <v>469</v>
      </c>
      <c r="K25" s="139" t="s">
        <v>404</v>
      </c>
      <c r="L25" s="139" t="s">
        <v>404</v>
      </c>
      <c r="M25" s="139" t="s">
        <v>404</v>
      </c>
      <c r="N25" s="138" t="s">
        <v>395</v>
      </c>
      <c r="O25" s="129" t="s">
        <v>470</v>
      </c>
      <c r="P25" s="129" t="s">
        <v>401</v>
      </c>
      <c r="Q25" s="129" t="s">
        <v>401</v>
      </c>
      <c r="R25" s="128">
        <v>1</v>
      </c>
      <c r="S25" s="128" t="str">
        <f>IFERROR(VLOOKUP(Q25,'Veicamo darbu apraksts'!$B$2:$D$39,2,FALSE),"")</f>
        <v>gab.</v>
      </c>
      <c r="T25" s="128">
        <f>IFERROR(VLOOKUP(Q25,'Veicamo darbu apraksts'!$B$2:$D$39,3,FALSE),"")</f>
        <v>7160</v>
      </c>
      <c r="U25" s="129">
        <f t="shared" ref="U25" si="9">IFERROR(R25*T25,0)</f>
        <v>7160</v>
      </c>
      <c r="V25" s="132">
        <v>1200</v>
      </c>
      <c r="W25" s="133">
        <v>1</v>
      </c>
      <c r="X25" s="132">
        <v>0.5</v>
      </c>
      <c r="Y25" s="126">
        <f t="shared" si="3"/>
        <v>7200</v>
      </c>
      <c r="Z25" s="134">
        <f t="shared" si="4"/>
        <v>7200</v>
      </c>
      <c r="AA25" s="135">
        <f t="shared" si="1"/>
        <v>0.99444444444444446</v>
      </c>
      <c r="AB25" s="135">
        <f t="shared" si="2"/>
        <v>0.99444444444444446</v>
      </c>
      <c r="AC25" s="303">
        <v>1</v>
      </c>
    </row>
    <row r="26" spans="1:29" s="136" customFormat="1" ht="26.45">
      <c r="A26" s="127" t="s">
        <v>179</v>
      </c>
      <c r="B26" s="127" t="s">
        <v>179</v>
      </c>
      <c r="C26" s="128" t="s">
        <v>348</v>
      </c>
      <c r="D26" s="137" t="s">
        <v>471</v>
      </c>
      <c r="E26" s="130">
        <v>80700082692</v>
      </c>
      <c r="F26" s="147" t="s">
        <v>385</v>
      </c>
      <c r="G26" s="129" t="s">
        <v>386</v>
      </c>
      <c r="H26" s="129"/>
      <c r="I26" s="129"/>
      <c r="J26" s="129" t="s">
        <v>472</v>
      </c>
      <c r="K26" s="138" t="s">
        <v>395</v>
      </c>
      <c r="L26" s="138" t="s">
        <v>395</v>
      </c>
      <c r="M26" s="138" t="s">
        <v>395</v>
      </c>
      <c r="N26" s="138" t="s">
        <v>395</v>
      </c>
      <c r="O26" s="129" t="s">
        <v>473</v>
      </c>
      <c r="P26" s="129" t="s">
        <v>474</v>
      </c>
      <c r="Q26" s="129" t="s">
        <v>474</v>
      </c>
      <c r="R26" s="128">
        <v>1</v>
      </c>
      <c r="S26" s="128" t="s">
        <v>475</v>
      </c>
      <c r="T26" s="128">
        <f>IFERROR(VLOOKUP(Q26,'Veicamo darbu apraksts'!$B$2:$D$39,3,FALSE),"")</f>
        <v>0</v>
      </c>
      <c r="U26" s="129">
        <v>30300</v>
      </c>
      <c r="V26" s="132">
        <v>1000</v>
      </c>
      <c r="W26" s="133">
        <v>1.5</v>
      </c>
      <c r="X26" s="132">
        <v>5</v>
      </c>
      <c r="Y26" s="126">
        <f t="shared" si="3"/>
        <v>90000</v>
      </c>
      <c r="Z26" s="134">
        <f t="shared" si="4"/>
        <v>60000</v>
      </c>
      <c r="AA26" s="135">
        <f t="shared" si="1"/>
        <v>0.33666666666666667</v>
      </c>
      <c r="AB26" s="135">
        <f t="shared" si="2"/>
        <v>0.505</v>
      </c>
      <c r="AC26" s="303">
        <v>3</v>
      </c>
    </row>
    <row r="27" spans="1:29" s="136" customFormat="1" ht="44.25" customHeight="1">
      <c r="A27" s="127" t="s">
        <v>182</v>
      </c>
      <c r="B27" s="127" t="s">
        <v>182</v>
      </c>
      <c r="C27" s="128" t="s">
        <v>348</v>
      </c>
      <c r="D27" s="137" t="s">
        <v>476</v>
      </c>
      <c r="E27" s="130">
        <v>80700081231</v>
      </c>
      <c r="F27" s="147" t="s">
        <v>385</v>
      </c>
      <c r="G27" s="129" t="s">
        <v>386</v>
      </c>
      <c r="H27" s="129" t="s">
        <v>477</v>
      </c>
      <c r="I27" s="364" t="s">
        <v>409</v>
      </c>
      <c r="J27" s="129" t="s">
        <v>388</v>
      </c>
      <c r="K27" s="131" t="s">
        <v>389</v>
      </c>
      <c r="L27" s="131" t="s">
        <v>389</v>
      </c>
      <c r="M27" s="138" t="s">
        <v>395</v>
      </c>
      <c r="N27" s="131" t="s">
        <v>389</v>
      </c>
      <c r="O27" s="129" t="s">
        <v>478</v>
      </c>
      <c r="P27" s="129" t="s">
        <v>479</v>
      </c>
      <c r="Q27" s="129" t="s">
        <v>463</v>
      </c>
      <c r="R27" s="128">
        <v>500</v>
      </c>
      <c r="S27" s="128" t="str">
        <f>IFERROR(VLOOKUP(Q27,'Veicamo darbu apraksts'!$B$2:$D$39,2,FALSE),"")</f>
        <v>m2</v>
      </c>
      <c r="T27" s="128">
        <f>IFERROR(VLOOKUP(Q27,'Veicamo darbu apraksts'!$B$2:$D$39,3,FALSE),"")</f>
        <v>50</v>
      </c>
      <c r="U27" s="365"/>
      <c r="V27" s="132">
        <v>7000</v>
      </c>
      <c r="W27" s="133">
        <v>0.05</v>
      </c>
      <c r="X27" s="132">
        <v>15</v>
      </c>
      <c r="Y27" s="126">
        <f t="shared" si="3"/>
        <v>63000</v>
      </c>
      <c r="Z27" s="134">
        <f t="shared" si="4"/>
        <v>1260000</v>
      </c>
      <c r="AA27" s="135">
        <f t="shared" si="1"/>
        <v>0</v>
      </c>
      <c r="AB27" s="135">
        <f t="shared" si="2"/>
        <v>0</v>
      </c>
      <c r="AC27" s="303">
        <v>7</v>
      </c>
    </row>
    <row r="28" spans="1:29" s="136" customFormat="1" ht="90" customHeight="1">
      <c r="A28" s="127" t="s">
        <v>183</v>
      </c>
      <c r="B28" s="127" t="s">
        <v>183</v>
      </c>
      <c r="C28" s="128" t="s">
        <v>348</v>
      </c>
      <c r="D28" s="137" t="s">
        <v>480</v>
      </c>
      <c r="E28" s="130">
        <v>80700081231</v>
      </c>
      <c r="F28" s="147" t="s">
        <v>385</v>
      </c>
      <c r="G28" s="129" t="s">
        <v>386</v>
      </c>
      <c r="H28" s="129"/>
      <c r="I28" s="129"/>
      <c r="J28" s="129" t="s">
        <v>388</v>
      </c>
      <c r="K28" s="131" t="s">
        <v>389</v>
      </c>
      <c r="L28" s="139" t="s">
        <v>404</v>
      </c>
      <c r="M28" s="139" t="s">
        <v>404</v>
      </c>
      <c r="N28" s="139" t="s">
        <v>404</v>
      </c>
      <c r="O28" s="129" t="s">
        <v>481</v>
      </c>
      <c r="P28" s="129" t="s">
        <v>482</v>
      </c>
      <c r="Q28" s="129" t="s">
        <v>483</v>
      </c>
      <c r="R28" s="128">
        <v>1</v>
      </c>
      <c r="S28" s="128" t="str">
        <f>IFERROR(VLOOKUP(Q28,'Veicamo darbu apraksts'!$B$2:$D$39,2,FALSE),"")</f>
        <v>gab.</v>
      </c>
      <c r="T28" s="128">
        <f>IFERROR(VLOOKUP(Q28,'Veicamo darbu apraksts'!$B$2:$D$39,3,FALSE),"")</f>
        <v>13080</v>
      </c>
      <c r="U28" s="129">
        <f t="shared" ref="U28:U95" si="10">IFERROR(R28*T28,0)</f>
        <v>13080</v>
      </c>
      <c r="V28" s="132">
        <v>400</v>
      </c>
      <c r="W28" s="133">
        <v>0.5</v>
      </c>
      <c r="X28" s="132">
        <v>40</v>
      </c>
      <c r="Y28" s="126">
        <f t="shared" si="3"/>
        <v>96000</v>
      </c>
      <c r="Z28" s="134">
        <f t="shared" si="4"/>
        <v>192000</v>
      </c>
      <c r="AA28" s="135">
        <f t="shared" si="1"/>
        <v>0.13625000000000001</v>
      </c>
      <c r="AB28" s="135">
        <f t="shared" si="2"/>
        <v>6.8125000000000005E-2</v>
      </c>
      <c r="AC28" s="303">
        <v>1</v>
      </c>
    </row>
    <row r="29" spans="1:29" s="136" customFormat="1" ht="39.6">
      <c r="A29" s="127" t="s">
        <v>185</v>
      </c>
      <c r="B29" s="127" t="s">
        <v>185</v>
      </c>
      <c r="C29" s="128" t="s">
        <v>348</v>
      </c>
      <c r="D29" s="137" t="s">
        <v>484</v>
      </c>
      <c r="E29" s="130">
        <v>80700081741</v>
      </c>
      <c r="F29" s="147" t="s">
        <v>385</v>
      </c>
      <c r="G29" s="129" t="s">
        <v>386</v>
      </c>
      <c r="H29" s="129"/>
      <c r="I29" s="129"/>
      <c r="J29" s="129" t="s">
        <v>388</v>
      </c>
      <c r="K29" s="131" t="s">
        <v>389</v>
      </c>
      <c r="L29" s="139" t="s">
        <v>404</v>
      </c>
      <c r="M29" s="139" t="s">
        <v>404</v>
      </c>
      <c r="N29" s="139" t="s">
        <v>404</v>
      </c>
      <c r="O29" s="137" t="s">
        <v>485</v>
      </c>
      <c r="P29" s="137" t="s">
        <v>423</v>
      </c>
      <c r="Q29" s="129" t="s">
        <v>423</v>
      </c>
      <c r="R29" s="128">
        <v>1</v>
      </c>
      <c r="S29" s="128" t="str">
        <f>IFERROR(VLOOKUP(Q29,'Veicamo darbu apraksts'!$B$2:$D$39,2,FALSE),"")</f>
        <v>gab.</v>
      </c>
      <c r="T29" s="128">
        <f>IFERROR(VLOOKUP(Q29,'Veicamo darbu apraksts'!$B$2:$D$39,3,FALSE),"")</f>
        <v>2765</v>
      </c>
      <c r="U29" s="129">
        <f t="shared" si="10"/>
        <v>2765</v>
      </c>
      <c r="V29" s="132">
        <v>3600</v>
      </c>
      <c r="W29" s="133">
        <v>0.05</v>
      </c>
      <c r="X29" s="132">
        <v>15</v>
      </c>
      <c r="Y29" s="126">
        <f t="shared" si="3"/>
        <v>32400</v>
      </c>
      <c r="Z29" s="134">
        <f t="shared" si="4"/>
        <v>648000</v>
      </c>
      <c r="AA29" s="135">
        <f t="shared" si="1"/>
        <v>8.5339506172839502E-2</v>
      </c>
      <c r="AB29" s="135">
        <f t="shared" si="2"/>
        <v>4.2669753086419749E-3</v>
      </c>
      <c r="AC29" s="303">
        <v>1</v>
      </c>
    </row>
    <row r="30" spans="1:29" s="136" customFormat="1" ht="78.75" customHeight="1">
      <c r="A30" s="127" t="s">
        <v>242</v>
      </c>
      <c r="B30" s="127" t="s">
        <v>242</v>
      </c>
      <c r="C30" s="128" t="s">
        <v>346</v>
      </c>
      <c r="D30" s="137" t="s">
        <v>486</v>
      </c>
      <c r="E30" s="130" t="s">
        <v>487</v>
      </c>
      <c r="F30" s="147" t="s">
        <v>385</v>
      </c>
      <c r="G30" s="129" t="s">
        <v>386</v>
      </c>
      <c r="H30" s="129"/>
      <c r="I30" s="129"/>
      <c r="J30" s="137" t="s">
        <v>421</v>
      </c>
      <c r="K30" s="139" t="s">
        <v>404</v>
      </c>
      <c r="L30" s="139" t="s">
        <v>404</v>
      </c>
      <c r="M30" s="139" t="s">
        <v>404</v>
      </c>
      <c r="N30" s="138" t="s">
        <v>395</v>
      </c>
      <c r="O30" s="129" t="s">
        <v>488</v>
      </c>
      <c r="P30" s="129" t="s">
        <v>401</v>
      </c>
      <c r="Q30" s="129" t="s">
        <v>401</v>
      </c>
      <c r="R30" s="128">
        <v>1</v>
      </c>
      <c r="S30" s="128" t="str">
        <f>IFERROR(VLOOKUP(Q30,'Veicamo darbu apraksts'!$B$2:$D$39,2,FALSE),"")</f>
        <v>gab.</v>
      </c>
      <c r="T30" s="128">
        <f>IFERROR(VLOOKUP(Q30,'Veicamo darbu apraksts'!$B$2:$D$39,3,FALSE),"")</f>
        <v>7160</v>
      </c>
      <c r="U30" s="129">
        <f t="shared" si="10"/>
        <v>7160</v>
      </c>
      <c r="V30" s="132">
        <v>300</v>
      </c>
      <c r="W30" s="133">
        <v>0.01</v>
      </c>
      <c r="X30" s="132">
        <v>15</v>
      </c>
      <c r="Y30" s="126">
        <f t="shared" si="3"/>
        <v>540</v>
      </c>
      <c r="Z30" s="134">
        <f t="shared" si="4"/>
        <v>54000</v>
      </c>
      <c r="AA30" s="135">
        <f t="shared" si="1"/>
        <v>13.25925925925926</v>
      </c>
      <c r="AB30" s="135">
        <f t="shared" si="2"/>
        <v>0.1325925925925926</v>
      </c>
      <c r="AC30" s="303">
        <v>7</v>
      </c>
    </row>
    <row r="31" spans="1:29" s="136" customFormat="1" ht="39.6">
      <c r="A31" s="127" t="s">
        <v>180</v>
      </c>
      <c r="B31" s="127" t="s">
        <v>180</v>
      </c>
      <c r="C31" s="128" t="s">
        <v>326</v>
      </c>
      <c r="D31" s="137" t="s">
        <v>489</v>
      </c>
      <c r="E31" s="130">
        <v>80700081136</v>
      </c>
      <c r="F31" s="147" t="s">
        <v>385</v>
      </c>
      <c r="G31" s="129" t="s">
        <v>490</v>
      </c>
      <c r="H31" s="129"/>
      <c r="I31" s="129"/>
      <c r="J31" s="129" t="s">
        <v>491</v>
      </c>
      <c r="K31" s="138" t="s">
        <v>395</v>
      </c>
      <c r="L31" s="139" t="s">
        <v>404</v>
      </c>
      <c r="M31" s="131" t="s">
        <v>389</v>
      </c>
      <c r="N31" s="138" t="s">
        <v>395</v>
      </c>
      <c r="O31" s="129" t="s">
        <v>492</v>
      </c>
      <c r="P31" s="129" t="s">
        <v>492</v>
      </c>
      <c r="Q31" s="129" t="s">
        <v>448</v>
      </c>
      <c r="R31" s="128">
        <v>2000</v>
      </c>
      <c r="S31" s="128" t="s">
        <v>493</v>
      </c>
      <c r="T31" s="128">
        <f>IFERROR(VLOOKUP(Q31,'Veicamo darbu apraksts'!$B$2:$D$39,3,FALSE),"")</f>
        <v>0</v>
      </c>
      <c r="U31" s="129">
        <v>10000</v>
      </c>
      <c r="V31" s="132">
        <v>50000</v>
      </c>
      <c r="W31" s="133">
        <v>0.01</v>
      </c>
      <c r="X31" s="132">
        <v>15</v>
      </c>
      <c r="Y31" s="126">
        <f t="shared" si="3"/>
        <v>90000</v>
      </c>
      <c r="Z31" s="134">
        <f t="shared" si="4"/>
        <v>9000000</v>
      </c>
      <c r="AA31" s="135">
        <f t="shared" si="1"/>
        <v>0.1111111111111111</v>
      </c>
      <c r="AB31" s="135">
        <f t="shared" si="2"/>
        <v>1.1111111111111111E-3</v>
      </c>
      <c r="AC31" s="303">
        <v>1</v>
      </c>
    </row>
    <row r="32" spans="1:29" s="136" customFormat="1" ht="41.25" customHeight="1">
      <c r="A32" s="127" t="s">
        <v>181</v>
      </c>
      <c r="B32" s="127" t="s">
        <v>181</v>
      </c>
      <c r="C32" s="128" t="s">
        <v>326</v>
      </c>
      <c r="D32" s="137" t="s">
        <v>489</v>
      </c>
      <c r="E32" s="130">
        <v>80700081136</v>
      </c>
      <c r="F32" s="147" t="s">
        <v>385</v>
      </c>
      <c r="G32" s="129" t="s">
        <v>490</v>
      </c>
      <c r="H32" s="129"/>
      <c r="I32" s="129"/>
      <c r="J32" s="129" t="s">
        <v>491</v>
      </c>
      <c r="K32" s="138" t="s">
        <v>395</v>
      </c>
      <c r="L32" s="139" t="s">
        <v>404</v>
      </c>
      <c r="M32" s="131" t="s">
        <v>389</v>
      </c>
      <c r="N32" s="138" t="s">
        <v>395</v>
      </c>
      <c r="O32" s="129" t="s">
        <v>494</v>
      </c>
      <c r="P32" s="129" t="s">
        <v>495</v>
      </c>
      <c r="Q32" s="129" t="s">
        <v>495</v>
      </c>
      <c r="R32" s="128">
        <v>50000</v>
      </c>
      <c r="S32" s="128" t="str">
        <f>IFERROR(VLOOKUP(Q32,'Veicamo darbu apraksts'!$B$2:$D$39,2,FALSE),"")</f>
        <v>gab.</v>
      </c>
      <c r="T32" s="128">
        <f>IFERROR(VLOOKUP(Q32,'Veicamo darbu apraksts'!$B$2:$D$39,3,FALSE),"")</f>
        <v>0</v>
      </c>
      <c r="U32" s="129">
        <v>10000</v>
      </c>
      <c r="V32" s="132">
        <v>500</v>
      </c>
      <c r="W32" s="133">
        <v>0.5</v>
      </c>
      <c r="X32" s="132">
        <v>10</v>
      </c>
      <c r="Y32" s="126">
        <f t="shared" si="3"/>
        <v>30000</v>
      </c>
      <c r="Z32" s="134">
        <f t="shared" si="4"/>
        <v>60000</v>
      </c>
      <c r="AA32" s="135">
        <f t="shared" si="1"/>
        <v>0.33333333333333331</v>
      </c>
      <c r="AB32" s="135">
        <f t="shared" si="2"/>
        <v>0.16666666666666666</v>
      </c>
      <c r="AC32" s="303">
        <v>7</v>
      </c>
    </row>
    <row r="33" spans="1:29" s="136" customFormat="1" ht="52.9">
      <c r="A33" s="127" t="s">
        <v>496</v>
      </c>
      <c r="B33" s="127" t="s">
        <v>171</v>
      </c>
      <c r="C33" s="128" t="s">
        <v>348</v>
      </c>
      <c r="D33" s="129" t="s">
        <v>497</v>
      </c>
      <c r="E33" s="130">
        <v>80700081875</v>
      </c>
      <c r="F33" s="147" t="s">
        <v>385</v>
      </c>
      <c r="G33" s="129" t="s">
        <v>490</v>
      </c>
      <c r="H33" s="129"/>
      <c r="I33" s="129"/>
      <c r="J33" s="137" t="s">
        <v>454</v>
      </c>
      <c r="K33" s="139" t="s">
        <v>404</v>
      </c>
      <c r="L33" s="139" t="s">
        <v>404</v>
      </c>
      <c r="M33" s="138" t="s">
        <v>395</v>
      </c>
      <c r="N33" s="138" t="s">
        <v>395</v>
      </c>
      <c r="O33" s="129" t="s">
        <v>498</v>
      </c>
      <c r="P33" s="129" t="s">
        <v>397</v>
      </c>
      <c r="Q33" s="129" t="s">
        <v>398</v>
      </c>
      <c r="R33" s="128">
        <v>8800</v>
      </c>
      <c r="S33" s="128" t="str">
        <f>IFERROR(VLOOKUP(Q33,'Veicamo darbu apraksts'!$B$2:$D$39,2,FALSE),"")</f>
        <v>m2</v>
      </c>
      <c r="T33" s="128">
        <f>IFERROR(VLOOKUP(Q33,'Veicamo darbu apraksts'!$B$2:$D$39,3,FALSE),"")</f>
        <v>55</v>
      </c>
      <c r="U33" s="129">
        <f t="shared" si="10"/>
        <v>484000</v>
      </c>
      <c r="V33" s="132">
        <v>200</v>
      </c>
      <c r="W33" s="133">
        <v>1</v>
      </c>
      <c r="X33" s="132">
        <v>1</v>
      </c>
      <c r="Y33" s="126">
        <f t="shared" si="3"/>
        <v>2400</v>
      </c>
      <c r="Z33" s="134">
        <f t="shared" si="4"/>
        <v>2400</v>
      </c>
      <c r="AA33" s="135">
        <f t="shared" si="1"/>
        <v>201.66666666666666</v>
      </c>
      <c r="AB33" s="135">
        <f t="shared" si="2"/>
        <v>201.66666666666666</v>
      </c>
      <c r="AC33" s="303">
        <v>7</v>
      </c>
    </row>
    <row r="34" spans="1:29" s="136" customFormat="1" ht="52.9">
      <c r="A34" s="127" t="s">
        <v>496</v>
      </c>
      <c r="B34" s="127" t="s">
        <v>172</v>
      </c>
      <c r="C34" s="128" t="s">
        <v>348</v>
      </c>
      <c r="D34" s="129" t="s">
        <v>497</v>
      </c>
      <c r="E34" s="130">
        <v>80700081875</v>
      </c>
      <c r="F34" s="147" t="s">
        <v>385</v>
      </c>
      <c r="G34" s="129" t="s">
        <v>490</v>
      </c>
      <c r="H34" s="129"/>
      <c r="I34" s="129"/>
      <c r="J34" s="137" t="s">
        <v>454</v>
      </c>
      <c r="K34" s="139" t="s">
        <v>404</v>
      </c>
      <c r="L34" s="139" t="s">
        <v>404</v>
      </c>
      <c r="M34" s="138" t="s">
        <v>395</v>
      </c>
      <c r="N34" s="138" t="s">
        <v>395</v>
      </c>
      <c r="O34" s="129" t="s">
        <v>498</v>
      </c>
      <c r="P34" s="129" t="s">
        <v>450</v>
      </c>
      <c r="Q34" s="129" t="s">
        <v>450</v>
      </c>
      <c r="R34" s="128">
        <v>2</v>
      </c>
      <c r="S34" s="128" t="str">
        <f>IFERROR(VLOOKUP(Q34,'Veicamo darbu apraksts'!$B$2:$D$39,2,FALSE),"")</f>
        <v>gab.</v>
      </c>
      <c r="T34" s="128">
        <f>IFERROR(VLOOKUP(Q34,'Veicamo darbu apraksts'!$B$2:$D$39,3,FALSE),"")</f>
        <v>90</v>
      </c>
      <c r="U34" s="129">
        <f t="shared" si="10"/>
        <v>180</v>
      </c>
      <c r="V34" s="132">
        <v>200</v>
      </c>
      <c r="W34" s="133">
        <v>0.01</v>
      </c>
      <c r="X34" s="132">
        <v>1</v>
      </c>
      <c r="Y34" s="126">
        <f t="shared" si="3"/>
        <v>24</v>
      </c>
      <c r="Z34" s="134">
        <f t="shared" si="4"/>
        <v>2400</v>
      </c>
      <c r="AA34" s="135">
        <f t="shared" si="1"/>
        <v>7.5</v>
      </c>
      <c r="AB34" s="135">
        <f t="shared" si="2"/>
        <v>7.4999999999999997E-2</v>
      </c>
      <c r="AC34" s="303">
        <v>7</v>
      </c>
    </row>
    <row r="35" spans="1:29" s="136" customFormat="1" ht="96.4" customHeight="1">
      <c r="A35" s="127" t="s">
        <v>499</v>
      </c>
      <c r="B35" s="127" t="s">
        <v>232</v>
      </c>
      <c r="C35" s="128" t="s">
        <v>348</v>
      </c>
      <c r="D35" s="129" t="s">
        <v>500</v>
      </c>
      <c r="E35" s="130">
        <v>80700083309</v>
      </c>
      <c r="F35" s="147" t="s">
        <v>385</v>
      </c>
      <c r="G35" s="129" t="s">
        <v>490</v>
      </c>
      <c r="H35" s="129" t="s">
        <v>501</v>
      </c>
      <c r="I35" s="129"/>
      <c r="J35" s="137" t="s">
        <v>421</v>
      </c>
      <c r="K35" s="139" t="s">
        <v>404</v>
      </c>
      <c r="L35" s="139" t="s">
        <v>404</v>
      </c>
      <c r="M35" s="138" t="s">
        <v>395</v>
      </c>
      <c r="N35" s="139" t="s">
        <v>404</v>
      </c>
      <c r="O35" s="129" t="s">
        <v>502</v>
      </c>
      <c r="P35" s="129" t="s">
        <v>503</v>
      </c>
      <c r="Q35" s="129" t="s">
        <v>398</v>
      </c>
      <c r="R35" s="128">
        <v>500</v>
      </c>
      <c r="S35" s="128" t="str">
        <f>IFERROR(VLOOKUP(Q35,'Veicamo darbu apraksts'!$B$2:$D$39,2,FALSE),"")</f>
        <v>m2</v>
      </c>
      <c r="T35" s="128">
        <f>IFERROR(VLOOKUP(Q35,'Veicamo darbu apraksts'!$B$2:$D$39,3,FALSE),"")</f>
        <v>55</v>
      </c>
      <c r="U35" s="129">
        <f>IFERROR(R35*T35,0)</f>
        <v>27500</v>
      </c>
      <c r="V35" s="132">
        <v>2500</v>
      </c>
      <c r="W35" s="133">
        <v>0.5</v>
      </c>
      <c r="X35" s="132">
        <v>4</v>
      </c>
      <c r="Y35" s="126">
        <f>V35*W35*X35*12</f>
        <v>60000</v>
      </c>
      <c r="Z35" s="134">
        <f>V35*X35*12</f>
        <v>120000</v>
      </c>
      <c r="AA35" s="135">
        <f>U35/Y35</f>
        <v>0.45833333333333331</v>
      </c>
      <c r="AB35" s="135">
        <f>U35/Z35</f>
        <v>0.22916666666666666</v>
      </c>
      <c r="AC35" s="303">
        <v>3</v>
      </c>
    </row>
    <row r="36" spans="1:29" s="136" customFormat="1" ht="66" customHeight="1">
      <c r="A36" s="254" t="s">
        <v>499</v>
      </c>
      <c r="B36" s="254" t="s">
        <v>233</v>
      </c>
      <c r="C36" s="128" t="s">
        <v>348</v>
      </c>
      <c r="D36" s="129" t="s">
        <v>500</v>
      </c>
      <c r="E36" s="130">
        <v>80700083309</v>
      </c>
      <c r="F36" s="147" t="s">
        <v>385</v>
      </c>
      <c r="G36" s="129" t="s">
        <v>490</v>
      </c>
      <c r="H36" s="129" t="s">
        <v>504</v>
      </c>
      <c r="I36" s="129"/>
      <c r="J36" s="137" t="s">
        <v>421</v>
      </c>
      <c r="K36" s="139" t="s">
        <v>404</v>
      </c>
      <c r="L36" s="139" t="s">
        <v>404</v>
      </c>
      <c r="M36" s="138" t="s">
        <v>395</v>
      </c>
      <c r="N36" s="139" t="s">
        <v>404</v>
      </c>
      <c r="O36" s="129" t="s">
        <v>427</v>
      </c>
      <c r="P36" s="129" t="s">
        <v>503</v>
      </c>
      <c r="Q36" s="129" t="s">
        <v>398</v>
      </c>
      <c r="R36" s="128">
        <v>200</v>
      </c>
      <c r="S36" s="128" t="str">
        <f>IFERROR(VLOOKUP(Q36,'Veicamo darbu apraksts'!$B$2:$D$39,2,FALSE),"")</f>
        <v>m2</v>
      </c>
      <c r="T36" s="128">
        <f>IFERROR(VLOOKUP(Q36,'Veicamo darbu apraksts'!$B$2:$D$39,3,FALSE),"")</f>
        <v>55</v>
      </c>
      <c r="U36" s="129">
        <f>IFERROR(R36*T36,0)</f>
        <v>11000</v>
      </c>
      <c r="V36" s="132">
        <v>2500</v>
      </c>
      <c r="W36" s="133">
        <v>0.5</v>
      </c>
      <c r="X36" s="132">
        <v>8</v>
      </c>
      <c r="Y36" s="126">
        <f>V36*W36*X36*12</f>
        <v>120000</v>
      </c>
      <c r="Z36" s="134">
        <f>V36*X36*12</f>
        <v>240000</v>
      </c>
      <c r="AA36" s="135">
        <f>U36/Y36</f>
        <v>9.166666666666666E-2</v>
      </c>
      <c r="AB36" s="135">
        <f>U36/Z36</f>
        <v>4.583333333333333E-2</v>
      </c>
      <c r="AC36" s="303">
        <v>1</v>
      </c>
    </row>
    <row r="37" spans="1:29" s="136" customFormat="1" ht="66" customHeight="1">
      <c r="A37" s="254" t="s">
        <v>499</v>
      </c>
      <c r="B37" s="254" t="s">
        <v>234</v>
      </c>
      <c r="C37" s="128" t="s">
        <v>348</v>
      </c>
      <c r="D37" s="129" t="s">
        <v>500</v>
      </c>
      <c r="E37" s="130">
        <v>80700083310</v>
      </c>
      <c r="F37" s="147" t="s">
        <v>385</v>
      </c>
      <c r="G37" s="129" t="s">
        <v>490</v>
      </c>
      <c r="H37" s="129"/>
      <c r="I37" s="129"/>
      <c r="J37" s="137"/>
      <c r="K37" s="139"/>
      <c r="L37" s="139"/>
      <c r="M37" s="138"/>
      <c r="N37" s="139"/>
      <c r="O37" s="129" t="s">
        <v>505</v>
      </c>
      <c r="P37" s="129" t="s">
        <v>506</v>
      </c>
      <c r="Q37" s="129" t="s">
        <v>506</v>
      </c>
      <c r="R37" s="128">
        <v>1</v>
      </c>
      <c r="S37" s="128" t="str">
        <f>IFERROR(VLOOKUP(Q37,'Veicamo darbu apraksts'!$B$2:$D$39,2,FALSE),"")</f>
        <v>gab.</v>
      </c>
      <c r="T37" s="128">
        <f>IFERROR(VLOOKUP(Q37,'Veicamo darbu apraksts'!$B$2:$D$39,3,FALSE),"")</f>
        <v>15000</v>
      </c>
      <c r="U37" s="129">
        <f>IFERROR(R37*T37,0)</f>
        <v>15000</v>
      </c>
      <c r="V37" s="132">
        <v>500</v>
      </c>
      <c r="W37" s="133">
        <v>0.5</v>
      </c>
      <c r="X37" s="132">
        <v>8</v>
      </c>
      <c r="Y37" s="126">
        <f>V37*W37*X37*12</f>
        <v>24000</v>
      </c>
      <c r="Z37" s="134">
        <f>V37*X37*12</f>
        <v>48000</v>
      </c>
      <c r="AA37" s="135">
        <f>U37/Y37</f>
        <v>0.625</v>
      </c>
      <c r="AB37" s="135">
        <f>U37/Z37</f>
        <v>0.3125</v>
      </c>
      <c r="AC37" s="303">
        <v>3</v>
      </c>
    </row>
    <row r="38" spans="1:29" s="136" customFormat="1" ht="66" customHeight="1">
      <c r="A38" s="254" t="s">
        <v>499</v>
      </c>
      <c r="B38" s="254" t="s">
        <v>235</v>
      </c>
      <c r="C38" s="128" t="s">
        <v>348</v>
      </c>
      <c r="D38" s="129" t="s">
        <v>507</v>
      </c>
      <c r="E38" s="130">
        <v>80700083309</v>
      </c>
      <c r="F38" s="147" t="s">
        <v>385</v>
      </c>
      <c r="G38" s="129" t="s">
        <v>490</v>
      </c>
      <c r="H38" s="129"/>
      <c r="I38" s="129"/>
      <c r="J38" s="137"/>
      <c r="K38" s="139"/>
      <c r="L38" s="139"/>
      <c r="M38" s="138"/>
      <c r="N38" s="139"/>
      <c r="O38" s="129" t="s">
        <v>508</v>
      </c>
      <c r="P38" s="129" t="s">
        <v>509</v>
      </c>
      <c r="Q38" s="129" t="s">
        <v>509</v>
      </c>
      <c r="R38" s="128">
        <v>2500</v>
      </c>
      <c r="S38" s="128" t="s">
        <v>475</v>
      </c>
      <c r="T38" s="128">
        <f>'Veicamo darbu apraksts'!D48</f>
        <v>60</v>
      </c>
      <c r="U38" s="129">
        <f>IFERROR(R38*T38,0)</f>
        <v>150000</v>
      </c>
      <c r="V38" s="132">
        <v>150</v>
      </c>
      <c r="W38" s="133">
        <v>1</v>
      </c>
      <c r="X38" s="132">
        <v>8</v>
      </c>
      <c r="Y38" s="126">
        <f>V38*W38*X38*12</f>
        <v>14400</v>
      </c>
      <c r="Z38" s="134">
        <f>V38*X38*12</f>
        <v>14400</v>
      </c>
      <c r="AA38" s="135">
        <f>U38/Y38</f>
        <v>10.416666666666666</v>
      </c>
      <c r="AB38" s="135">
        <f>U38/Z38</f>
        <v>10.416666666666666</v>
      </c>
      <c r="AC38" s="303">
        <v>2</v>
      </c>
    </row>
    <row r="39" spans="1:29" s="136" customFormat="1" ht="66" customHeight="1">
      <c r="A39" s="127" t="s">
        <v>510</v>
      </c>
      <c r="B39" s="127" t="s">
        <v>187</v>
      </c>
      <c r="C39" s="128" t="s">
        <v>348</v>
      </c>
      <c r="D39" s="137" t="s">
        <v>511</v>
      </c>
      <c r="E39" s="130">
        <v>80700081313</v>
      </c>
      <c r="F39" s="147" t="s">
        <v>385</v>
      </c>
      <c r="G39" s="129" t="s">
        <v>490</v>
      </c>
      <c r="H39" s="129" t="s">
        <v>512</v>
      </c>
      <c r="I39" s="364" t="s">
        <v>409</v>
      </c>
      <c r="J39" s="137" t="s">
        <v>513</v>
      </c>
      <c r="K39" s="126"/>
      <c r="L39" s="126"/>
      <c r="M39" s="126"/>
      <c r="N39" s="126"/>
      <c r="O39" s="137" t="s">
        <v>514</v>
      </c>
      <c r="P39" s="129" t="s">
        <v>503</v>
      </c>
      <c r="Q39" s="129" t="s">
        <v>398</v>
      </c>
      <c r="R39" s="128">
        <v>3700</v>
      </c>
      <c r="S39" s="128" t="str">
        <f>IFERROR(VLOOKUP(Q39,'Veicamo darbu apraksts'!$B$2:$D$39,2,FALSE),"")</f>
        <v>m2</v>
      </c>
      <c r="T39" s="128">
        <f>IFERROR(VLOOKUP(Q39,'Veicamo darbu apraksts'!$B$2:$D$39,3,FALSE),"")</f>
        <v>55</v>
      </c>
      <c r="U39" s="365"/>
      <c r="V39" s="132">
        <v>6000</v>
      </c>
      <c r="W39" s="133">
        <v>0.15</v>
      </c>
      <c r="X39" s="132">
        <v>20</v>
      </c>
      <c r="Y39" s="126">
        <f t="shared" si="3"/>
        <v>216000</v>
      </c>
      <c r="Z39" s="134">
        <f t="shared" si="4"/>
        <v>1440000</v>
      </c>
      <c r="AA39" s="135">
        <f t="shared" si="1"/>
        <v>0</v>
      </c>
      <c r="AB39" s="135">
        <f t="shared" si="2"/>
        <v>0</v>
      </c>
      <c r="AC39" s="303">
        <v>2</v>
      </c>
    </row>
    <row r="40" spans="1:29" s="136" customFormat="1" ht="64.5" customHeight="1">
      <c r="A40" s="127" t="s">
        <v>510</v>
      </c>
      <c r="B40" s="127" t="s">
        <v>188</v>
      </c>
      <c r="C40" s="128" t="s">
        <v>348</v>
      </c>
      <c r="D40" s="137" t="s">
        <v>511</v>
      </c>
      <c r="E40" s="130">
        <v>80700081313</v>
      </c>
      <c r="F40" s="147" t="s">
        <v>385</v>
      </c>
      <c r="G40" s="129" t="s">
        <v>490</v>
      </c>
      <c r="H40" s="129" t="s">
        <v>512</v>
      </c>
      <c r="I40" s="364" t="s">
        <v>409</v>
      </c>
      <c r="J40" s="137" t="s">
        <v>515</v>
      </c>
      <c r="K40" s="126"/>
      <c r="L40" s="126"/>
      <c r="M40" s="126"/>
      <c r="N40" s="126"/>
      <c r="O40" s="137" t="s">
        <v>514</v>
      </c>
      <c r="P40" s="129" t="s">
        <v>516</v>
      </c>
      <c r="Q40" s="129" t="s">
        <v>423</v>
      </c>
      <c r="R40" s="128">
        <v>1</v>
      </c>
      <c r="S40" s="128" t="str">
        <f>IFERROR(VLOOKUP(Q40,'Veicamo darbu apraksts'!$B$2:$D$39,2,FALSE),"")</f>
        <v>gab.</v>
      </c>
      <c r="T40" s="128">
        <f>IFERROR(VLOOKUP(Q40,'Veicamo darbu apraksts'!$B$2:$D$39,3,FALSE),"")</f>
        <v>2765</v>
      </c>
      <c r="U40" s="365"/>
      <c r="V40" s="132">
        <v>6000</v>
      </c>
      <c r="W40" s="133">
        <v>0.15</v>
      </c>
      <c r="X40" s="132">
        <v>10</v>
      </c>
      <c r="Y40" s="126">
        <f t="shared" si="3"/>
        <v>108000</v>
      </c>
      <c r="Z40" s="134">
        <f t="shared" si="4"/>
        <v>720000</v>
      </c>
      <c r="AA40" s="135">
        <f t="shared" ref="AA40:AB74" si="11">U40/Y40</f>
        <v>0</v>
      </c>
      <c r="AB40" s="135">
        <f t="shared" ref="AB40:AB74" si="12">U40/Z40</f>
        <v>0</v>
      </c>
      <c r="AC40" s="303">
        <v>2</v>
      </c>
    </row>
    <row r="41" spans="1:29" s="136" customFormat="1" ht="66">
      <c r="A41" s="127" t="s">
        <v>189</v>
      </c>
      <c r="B41" s="127" t="s">
        <v>189</v>
      </c>
      <c r="C41" s="128" t="s">
        <v>348</v>
      </c>
      <c r="D41" s="137" t="s">
        <v>517</v>
      </c>
      <c r="E41" s="130">
        <v>80700081673</v>
      </c>
      <c r="F41" s="147" t="s">
        <v>518</v>
      </c>
      <c r="G41" s="129" t="s">
        <v>490</v>
      </c>
      <c r="H41" s="129" t="s">
        <v>519</v>
      </c>
      <c r="I41" s="364" t="s">
        <v>409</v>
      </c>
      <c r="J41" s="137" t="s">
        <v>520</v>
      </c>
      <c r="K41" s="126"/>
      <c r="L41" s="126"/>
      <c r="M41" s="126"/>
      <c r="N41" s="126"/>
      <c r="O41" s="137" t="s">
        <v>521</v>
      </c>
      <c r="P41" s="129" t="s">
        <v>503</v>
      </c>
      <c r="Q41" s="129" t="s">
        <v>398</v>
      </c>
      <c r="R41" s="128">
        <v>1200</v>
      </c>
      <c r="S41" s="128" t="str">
        <f>IFERROR(VLOOKUP(Q41,'Veicamo darbu apraksts'!$B$2:$D$39,2,FALSE),"")</f>
        <v>m2</v>
      </c>
      <c r="T41" s="128">
        <f>IFERROR(VLOOKUP(Q41,'Veicamo darbu apraksts'!$B$2:$D$39,3,FALSE),"")</f>
        <v>55</v>
      </c>
      <c r="U41" s="365"/>
      <c r="V41" s="132">
        <v>1000</v>
      </c>
      <c r="W41" s="133">
        <v>0.15</v>
      </c>
      <c r="X41" s="132">
        <v>20</v>
      </c>
      <c r="Y41" s="126">
        <f t="shared" si="3"/>
        <v>36000</v>
      </c>
      <c r="Z41" s="134">
        <f t="shared" si="4"/>
        <v>240000</v>
      </c>
      <c r="AA41" s="135">
        <f t="shared" si="11"/>
        <v>0</v>
      </c>
      <c r="AB41" s="135">
        <f t="shared" si="12"/>
        <v>0</v>
      </c>
      <c r="AC41" s="303">
        <v>2</v>
      </c>
    </row>
    <row r="42" spans="1:29" s="136" customFormat="1" ht="66">
      <c r="A42" s="127" t="s">
        <v>522</v>
      </c>
      <c r="B42" s="127" t="s">
        <v>190</v>
      </c>
      <c r="C42" s="128" t="s">
        <v>348</v>
      </c>
      <c r="D42" s="216" t="s">
        <v>523</v>
      </c>
      <c r="E42" s="130">
        <v>80700083335</v>
      </c>
      <c r="F42" s="147" t="s">
        <v>385</v>
      </c>
      <c r="G42" s="129" t="s">
        <v>490</v>
      </c>
      <c r="H42" s="129" t="s">
        <v>524</v>
      </c>
      <c r="I42" s="364" t="s">
        <v>409</v>
      </c>
      <c r="J42" s="137" t="s">
        <v>513</v>
      </c>
      <c r="K42" s="126"/>
      <c r="L42" s="126"/>
      <c r="M42" s="126"/>
      <c r="N42" s="126"/>
      <c r="O42" s="137" t="s">
        <v>525</v>
      </c>
      <c r="P42" s="129" t="s">
        <v>503</v>
      </c>
      <c r="Q42" s="129" t="s">
        <v>398</v>
      </c>
      <c r="R42" s="128">
        <v>41400</v>
      </c>
      <c r="S42" s="128" t="str">
        <f>IFERROR(VLOOKUP(Q42,'Veicamo darbu apraksts'!$B$2:$D$39,2,FALSE),"")</f>
        <v>m2</v>
      </c>
      <c r="T42" s="128">
        <f>IFERROR(VLOOKUP(Q42,'Veicamo darbu apraksts'!$B$2:$D$39,3,FALSE),"")</f>
        <v>55</v>
      </c>
      <c r="U42" s="365"/>
      <c r="V42" s="132">
        <v>1000</v>
      </c>
      <c r="W42" s="133">
        <v>0.25</v>
      </c>
      <c r="X42" s="132">
        <v>20</v>
      </c>
      <c r="Y42" s="126">
        <f t="shared" si="3"/>
        <v>60000</v>
      </c>
      <c r="Z42" s="134">
        <f t="shared" si="4"/>
        <v>240000</v>
      </c>
      <c r="AA42" s="135">
        <f t="shared" si="11"/>
        <v>0</v>
      </c>
      <c r="AB42" s="135">
        <f t="shared" si="12"/>
        <v>0</v>
      </c>
      <c r="AC42" s="303">
        <v>7</v>
      </c>
    </row>
    <row r="43" spans="1:29" s="136" customFormat="1" ht="66">
      <c r="A43" s="127" t="s">
        <v>522</v>
      </c>
      <c r="B43" s="127" t="s">
        <v>191</v>
      </c>
      <c r="C43" s="128" t="s">
        <v>348</v>
      </c>
      <c r="D43" s="137" t="s">
        <v>523</v>
      </c>
      <c r="E43" s="130">
        <v>80700083335</v>
      </c>
      <c r="F43" s="147" t="s">
        <v>385</v>
      </c>
      <c r="G43" s="129" t="s">
        <v>490</v>
      </c>
      <c r="H43" s="129" t="s">
        <v>526</v>
      </c>
      <c r="I43" s="140"/>
      <c r="J43" s="137" t="s">
        <v>513</v>
      </c>
      <c r="K43" s="126"/>
      <c r="L43" s="126"/>
      <c r="M43" s="126"/>
      <c r="N43" s="126"/>
      <c r="O43" s="137" t="s">
        <v>527</v>
      </c>
      <c r="P43" s="129" t="s">
        <v>503</v>
      </c>
      <c r="Q43" s="129" t="s">
        <v>423</v>
      </c>
      <c r="R43" s="128">
        <v>3</v>
      </c>
      <c r="S43" s="128" t="str">
        <f>IFERROR(VLOOKUP(Q43,'Veicamo darbu apraksts'!$B$2:$D$39,2,FALSE),"")</f>
        <v>gab.</v>
      </c>
      <c r="T43" s="128">
        <f>IFERROR(VLOOKUP(Q43,'Veicamo darbu apraksts'!$B$2:$D$39,3,FALSE),"")</f>
        <v>2765</v>
      </c>
      <c r="U43" s="129">
        <f t="shared" si="10"/>
        <v>8295</v>
      </c>
      <c r="V43" s="132">
        <v>1000</v>
      </c>
      <c r="W43" s="133">
        <v>0.16</v>
      </c>
      <c r="X43" s="132">
        <v>10</v>
      </c>
      <c r="Y43" s="126">
        <f t="shared" si="3"/>
        <v>19200</v>
      </c>
      <c r="Z43" s="134">
        <f t="shared" si="4"/>
        <v>120000</v>
      </c>
      <c r="AA43" s="135">
        <f t="shared" si="11"/>
        <v>0.43203124999999998</v>
      </c>
      <c r="AB43" s="135">
        <f t="shared" si="12"/>
        <v>6.9125000000000006E-2</v>
      </c>
      <c r="AC43" s="303">
        <v>7</v>
      </c>
    </row>
    <row r="44" spans="1:29" s="136" customFormat="1" ht="52.9">
      <c r="A44" s="127" t="s">
        <v>528</v>
      </c>
      <c r="B44" s="127" t="s">
        <v>192</v>
      </c>
      <c r="C44" s="128" t="s">
        <v>348</v>
      </c>
      <c r="D44" s="137" t="s">
        <v>529</v>
      </c>
      <c r="E44" s="130" t="s">
        <v>530</v>
      </c>
      <c r="F44" s="147" t="s">
        <v>385</v>
      </c>
      <c r="G44" s="129" t="s">
        <v>490</v>
      </c>
      <c r="H44" s="129"/>
      <c r="I44" s="129"/>
      <c r="J44" s="137" t="s">
        <v>515</v>
      </c>
      <c r="K44" s="126"/>
      <c r="L44" s="126"/>
      <c r="M44" s="126"/>
      <c r="N44" s="126"/>
      <c r="O44" s="137" t="s">
        <v>531</v>
      </c>
      <c r="P44" s="129" t="s">
        <v>503</v>
      </c>
      <c r="Q44" s="129" t="s">
        <v>398</v>
      </c>
      <c r="R44" s="128">
        <v>14800</v>
      </c>
      <c r="S44" s="128" t="str">
        <f>IFERROR(VLOOKUP(Q44,'Veicamo darbu apraksts'!$B$2:$D$39,2,FALSE),"")</f>
        <v>m2</v>
      </c>
      <c r="T44" s="128">
        <f>IFERROR(VLOOKUP(Q44,'Veicamo darbu apraksts'!$B$2:$D$39,3,FALSE),"")</f>
        <v>55</v>
      </c>
      <c r="U44" s="129">
        <f t="shared" si="10"/>
        <v>814000</v>
      </c>
      <c r="V44" s="132">
        <v>600</v>
      </c>
      <c r="W44" s="133">
        <v>0.25</v>
      </c>
      <c r="X44" s="132">
        <v>30</v>
      </c>
      <c r="Y44" s="126">
        <f t="shared" si="3"/>
        <v>54000</v>
      </c>
      <c r="Z44" s="134">
        <f t="shared" si="4"/>
        <v>216000</v>
      </c>
      <c r="AA44" s="135">
        <f t="shared" si="11"/>
        <v>15.074074074074074</v>
      </c>
      <c r="AB44" s="135">
        <f t="shared" si="12"/>
        <v>3.7685185185185186</v>
      </c>
      <c r="AC44" s="303">
        <v>3</v>
      </c>
    </row>
    <row r="45" spans="1:29" s="136" customFormat="1" ht="52.9">
      <c r="A45" s="127" t="s">
        <v>528</v>
      </c>
      <c r="B45" s="127" t="s">
        <v>193</v>
      </c>
      <c r="C45" s="128" t="s">
        <v>348</v>
      </c>
      <c r="D45" s="137" t="s">
        <v>529</v>
      </c>
      <c r="E45" s="130" t="s">
        <v>530</v>
      </c>
      <c r="F45" s="147" t="s">
        <v>385</v>
      </c>
      <c r="G45" s="129" t="s">
        <v>490</v>
      </c>
      <c r="H45" s="129"/>
      <c r="I45" s="129"/>
      <c r="J45" s="137" t="s">
        <v>515</v>
      </c>
      <c r="K45" s="126"/>
      <c r="L45" s="126"/>
      <c r="M45" s="126"/>
      <c r="N45" s="126"/>
      <c r="O45" s="137" t="s">
        <v>531</v>
      </c>
      <c r="P45" s="129" t="s">
        <v>423</v>
      </c>
      <c r="Q45" s="129" t="s">
        <v>423</v>
      </c>
      <c r="R45" s="128">
        <v>4</v>
      </c>
      <c r="S45" s="128" t="str">
        <f>IFERROR(VLOOKUP(Q45,'Veicamo darbu apraksts'!$B$2:$D$39,2,FALSE),"")</f>
        <v>gab.</v>
      </c>
      <c r="T45" s="128">
        <f>IFERROR(VLOOKUP(Q45,'Veicamo darbu apraksts'!$B$2:$D$39,3,FALSE),"")</f>
        <v>2765</v>
      </c>
      <c r="U45" s="129">
        <f t="shared" si="10"/>
        <v>11060</v>
      </c>
      <c r="V45" s="132">
        <v>600</v>
      </c>
      <c r="W45" s="133">
        <v>0.15</v>
      </c>
      <c r="X45" s="132">
        <v>10</v>
      </c>
      <c r="Y45" s="126">
        <f t="shared" si="3"/>
        <v>10800</v>
      </c>
      <c r="Z45" s="134">
        <f t="shared" si="4"/>
        <v>72000</v>
      </c>
      <c r="AA45" s="135">
        <f t="shared" si="11"/>
        <v>1.0240740740740741</v>
      </c>
      <c r="AB45" s="135">
        <f t="shared" si="12"/>
        <v>0.15361111111111111</v>
      </c>
      <c r="AC45" s="303">
        <v>3</v>
      </c>
    </row>
    <row r="46" spans="1:29" s="136" customFormat="1" ht="26.45">
      <c r="A46" s="127" t="s">
        <v>194</v>
      </c>
      <c r="B46" s="127" t="s">
        <v>194</v>
      </c>
      <c r="C46" s="128" t="s">
        <v>348</v>
      </c>
      <c r="D46" s="137" t="s">
        <v>532</v>
      </c>
      <c r="E46" s="130">
        <v>80700081310</v>
      </c>
      <c r="F46" s="147" t="s">
        <v>385</v>
      </c>
      <c r="G46" s="129" t="s">
        <v>490</v>
      </c>
      <c r="H46" s="129" t="s">
        <v>533</v>
      </c>
      <c r="I46" s="129"/>
      <c r="J46" s="137" t="s">
        <v>534</v>
      </c>
      <c r="K46" s="126"/>
      <c r="L46" s="126"/>
      <c r="M46" s="126"/>
      <c r="N46" s="126"/>
      <c r="O46" s="137" t="s">
        <v>535</v>
      </c>
      <c r="P46" s="129" t="s">
        <v>423</v>
      </c>
      <c r="Q46" s="129" t="s">
        <v>423</v>
      </c>
      <c r="R46" s="128">
        <v>4</v>
      </c>
      <c r="S46" s="128" t="str">
        <f>IFERROR(VLOOKUP(Q46,'Veicamo darbu apraksts'!$B$2:$D$39,2,FALSE),"")</f>
        <v>gab.</v>
      </c>
      <c r="T46" s="128">
        <f>IFERROR(VLOOKUP(Q46,'Veicamo darbu apraksts'!$B$2:$D$39,3,FALSE),"")</f>
        <v>2765</v>
      </c>
      <c r="U46" s="129">
        <f t="shared" si="10"/>
        <v>11060</v>
      </c>
      <c r="V46" s="132">
        <v>700</v>
      </c>
      <c r="W46" s="133">
        <v>0.25</v>
      </c>
      <c r="X46" s="132">
        <v>30</v>
      </c>
      <c r="Y46" s="126">
        <f t="shared" si="3"/>
        <v>63000</v>
      </c>
      <c r="Z46" s="134">
        <f t="shared" si="4"/>
        <v>252000</v>
      </c>
      <c r="AA46" s="135">
        <f t="shared" si="11"/>
        <v>0.17555555555555555</v>
      </c>
      <c r="AB46" s="135">
        <f t="shared" si="12"/>
        <v>4.3888888888888887E-2</v>
      </c>
      <c r="AC46" s="303">
        <v>1</v>
      </c>
    </row>
    <row r="47" spans="1:29" s="136" customFormat="1" ht="38.25" customHeight="1">
      <c r="A47" s="127" t="s">
        <v>195</v>
      </c>
      <c r="B47" s="127" t="s">
        <v>195</v>
      </c>
      <c r="C47" s="128" t="s">
        <v>348</v>
      </c>
      <c r="D47" s="137" t="s">
        <v>536</v>
      </c>
      <c r="E47" s="130">
        <v>80700081314</v>
      </c>
      <c r="F47" s="147" t="s">
        <v>385</v>
      </c>
      <c r="G47" s="129" t="s">
        <v>490</v>
      </c>
      <c r="H47" s="129"/>
      <c r="I47" s="129"/>
      <c r="J47" s="137" t="s">
        <v>520</v>
      </c>
      <c r="K47" s="126"/>
      <c r="L47" s="126"/>
      <c r="M47" s="126"/>
      <c r="N47" s="126"/>
      <c r="O47" s="137" t="s">
        <v>537</v>
      </c>
      <c r="P47" s="129" t="s">
        <v>503</v>
      </c>
      <c r="Q47" s="129" t="s">
        <v>398</v>
      </c>
      <c r="R47" s="128">
        <v>10000</v>
      </c>
      <c r="S47" s="128" t="str">
        <f>IFERROR(VLOOKUP(Q47,'Veicamo darbu apraksts'!$B$2:$D$39,2,FALSE),"")</f>
        <v>m2</v>
      </c>
      <c r="T47" s="128">
        <f>IFERROR(VLOOKUP(Q47,'Veicamo darbu apraksts'!$B$2:$D$39,3,FALSE),"")</f>
        <v>55</v>
      </c>
      <c r="U47" s="129">
        <f t="shared" si="10"/>
        <v>550000</v>
      </c>
      <c r="V47" s="132">
        <v>6000</v>
      </c>
      <c r="W47" s="133">
        <v>0.3</v>
      </c>
      <c r="X47" s="132">
        <v>30</v>
      </c>
      <c r="Y47" s="126">
        <f t="shared" si="3"/>
        <v>648000</v>
      </c>
      <c r="Z47" s="134">
        <f t="shared" si="4"/>
        <v>2160000</v>
      </c>
      <c r="AA47" s="135">
        <f t="shared" si="11"/>
        <v>0.84876543209876543</v>
      </c>
      <c r="AB47" s="135">
        <f t="shared" si="12"/>
        <v>0.25462962962962965</v>
      </c>
      <c r="AC47" s="303">
        <v>7</v>
      </c>
    </row>
    <row r="48" spans="1:29" s="136" customFormat="1" ht="52.9">
      <c r="A48" s="127" t="s">
        <v>196</v>
      </c>
      <c r="B48" s="127" t="s">
        <v>196</v>
      </c>
      <c r="C48" s="128" t="s">
        <v>348</v>
      </c>
      <c r="D48" s="137" t="s">
        <v>538</v>
      </c>
      <c r="E48" s="130">
        <v>80700081314</v>
      </c>
      <c r="F48" s="147" t="s">
        <v>385</v>
      </c>
      <c r="G48" s="129" t="s">
        <v>490</v>
      </c>
      <c r="H48" s="129"/>
      <c r="I48" s="129"/>
      <c r="J48" s="137" t="s">
        <v>534</v>
      </c>
      <c r="K48" s="126"/>
      <c r="L48" s="126"/>
      <c r="M48" s="126"/>
      <c r="N48" s="126"/>
      <c r="O48" s="137" t="s">
        <v>539</v>
      </c>
      <c r="P48" s="129" t="s">
        <v>540</v>
      </c>
      <c r="Q48" s="129" t="s">
        <v>423</v>
      </c>
      <c r="R48" s="128">
        <v>8</v>
      </c>
      <c r="S48" s="128" t="str">
        <f>IFERROR(VLOOKUP(Q48,'Veicamo darbu apraksts'!$B$2:$D$39,2,FALSE),"")</f>
        <v>gab.</v>
      </c>
      <c r="T48" s="128">
        <f>IFERROR(VLOOKUP(Q48,'Veicamo darbu apraksts'!$B$2:$D$39,3,FALSE),"")</f>
        <v>2765</v>
      </c>
      <c r="U48" s="129">
        <f t="shared" si="10"/>
        <v>22120</v>
      </c>
      <c r="V48" s="132">
        <v>6000</v>
      </c>
      <c r="W48" s="133">
        <v>0.15</v>
      </c>
      <c r="X48" s="132">
        <v>30</v>
      </c>
      <c r="Y48" s="126">
        <f t="shared" si="3"/>
        <v>324000</v>
      </c>
      <c r="Z48" s="134">
        <f t="shared" si="4"/>
        <v>2160000</v>
      </c>
      <c r="AA48" s="135">
        <f t="shared" si="11"/>
        <v>6.8271604938271599E-2</v>
      </c>
      <c r="AB48" s="135">
        <f t="shared" si="12"/>
        <v>1.0240740740740741E-2</v>
      </c>
      <c r="AC48" s="303">
        <v>1</v>
      </c>
    </row>
    <row r="49" spans="1:29" s="136" customFormat="1" ht="37.5" customHeight="1">
      <c r="A49" s="127" t="s">
        <v>541</v>
      </c>
      <c r="B49" s="127" t="s">
        <v>197</v>
      </c>
      <c r="C49" s="128" t="s">
        <v>326</v>
      </c>
      <c r="D49" s="137" t="s">
        <v>542</v>
      </c>
      <c r="E49" s="130">
        <v>80700081318</v>
      </c>
      <c r="F49" s="147" t="s">
        <v>385</v>
      </c>
      <c r="G49" s="129" t="s">
        <v>490</v>
      </c>
      <c r="H49" s="129"/>
      <c r="I49" s="129"/>
      <c r="J49" s="137" t="s">
        <v>515</v>
      </c>
      <c r="K49" s="126"/>
      <c r="L49" s="126"/>
      <c r="M49" s="126"/>
      <c r="N49" s="126"/>
      <c r="O49" s="137" t="s">
        <v>543</v>
      </c>
      <c r="P49" s="129" t="s">
        <v>503</v>
      </c>
      <c r="Q49" s="129" t="s">
        <v>398</v>
      </c>
      <c r="R49" s="128">
        <v>20000</v>
      </c>
      <c r="S49" s="128" t="str">
        <f>IFERROR(VLOOKUP(Q49,'Veicamo darbu apraksts'!$B$2:$D$39,2,FALSE),"")</f>
        <v>m2</v>
      </c>
      <c r="T49" s="128">
        <f>IFERROR(VLOOKUP(Q49,'Veicamo darbu apraksts'!$B$2:$D$39,3,FALSE),"")</f>
        <v>55</v>
      </c>
      <c r="U49" s="129">
        <f t="shared" si="10"/>
        <v>1100000</v>
      </c>
      <c r="V49" s="132">
        <v>600</v>
      </c>
      <c r="W49" s="133">
        <v>1</v>
      </c>
      <c r="X49" s="132">
        <v>15</v>
      </c>
      <c r="Y49" s="126">
        <f t="shared" si="3"/>
        <v>108000</v>
      </c>
      <c r="Z49" s="134">
        <f t="shared" si="4"/>
        <v>108000</v>
      </c>
      <c r="AA49" s="135">
        <f t="shared" si="11"/>
        <v>10.185185185185185</v>
      </c>
      <c r="AB49" s="135">
        <f t="shared" si="12"/>
        <v>10.185185185185185</v>
      </c>
      <c r="AC49" s="303">
        <v>7</v>
      </c>
    </row>
    <row r="50" spans="1:29" s="136" customFormat="1" ht="36.75" customHeight="1">
      <c r="A50" s="127" t="s">
        <v>541</v>
      </c>
      <c r="B50" s="127" t="s">
        <v>198</v>
      </c>
      <c r="C50" s="128" t="s">
        <v>326</v>
      </c>
      <c r="D50" s="137" t="s">
        <v>544</v>
      </c>
      <c r="E50" s="130">
        <v>80700081318</v>
      </c>
      <c r="F50" s="147" t="s">
        <v>385</v>
      </c>
      <c r="G50" s="129" t="s">
        <v>490</v>
      </c>
      <c r="H50" s="129"/>
      <c r="I50" s="129"/>
      <c r="J50" s="137" t="s">
        <v>515</v>
      </c>
      <c r="K50" s="126"/>
      <c r="L50" s="126"/>
      <c r="M50" s="126"/>
      <c r="N50" s="126"/>
      <c r="O50" s="137" t="s">
        <v>543</v>
      </c>
      <c r="P50" s="129" t="s">
        <v>423</v>
      </c>
      <c r="Q50" s="129" t="s">
        <v>423</v>
      </c>
      <c r="R50" s="128">
        <v>4</v>
      </c>
      <c r="S50" s="128" t="str">
        <f>IFERROR(VLOOKUP(Q50,'Veicamo darbu apraksts'!$B$2:$D$39,2,FALSE),"")</f>
        <v>gab.</v>
      </c>
      <c r="T50" s="128">
        <f>IFERROR(VLOOKUP(Q50,'Veicamo darbu apraksts'!$B$2:$D$39,3,FALSE),"")</f>
        <v>2765</v>
      </c>
      <c r="U50" s="129">
        <f t="shared" si="10"/>
        <v>11060</v>
      </c>
      <c r="V50" s="132">
        <v>600</v>
      </c>
      <c r="W50" s="133">
        <v>0.15</v>
      </c>
      <c r="X50" s="132">
        <v>15</v>
      </c>
      <c r="Y50" s="126">
        <f t="shared" si="3"/>
        <v>16200</v>
      </c>
      <c r="Z50" s="134">
        <f t="shared" si="4"/>
        <v>108000</v>
      </c>
      <c r="AA50" s="135">
        <f t="shared" si="11"/>
        <v>0.68271604938271602</v>
      </c>
      <c r="AB50" s="135">
        <f t="shared" si="12"/>
        <v>0.10240740740740741</v>
      </c>
      <c r="AC50" s="303">
        <v>7</v>
      </c>
    </row>
    <row r="51" spans="1:29" s="136" customFormat="1" ht="39.6">
      <c r="A51" s="127" t="s">
        <v>199</v>
      </c>
      <c r="B51" s="127" t="s">
        <v>199</v>
      </c>
      <c r="C51" s="128" t="s">
        <v>348</v>
      </c>
      <c r="D51" s="137" t="s">
        <v>545</v>
      </c>
      <c r="E51" s="130">
        <v>80700081673</v>
      </c>
      <c r="F51" s="147" t="s">
        <v>518</v>
      </c>
      <c r="G51" s="129" t="s">
        <v>490</v>
      </c>
      <c r="H51" s="129"/>
      <c r="I51" s="129"/>
      <c r="J51" s="137" t="s">
        <v>546</v>
      </c>
      <c r="K51" s="126"/>
      <c r="L51" s="126"/>
      <c r="M51" s="126"/>
      <c r="N51" s="126"/>
      <c r="O51" s="137" t="s">
        <v>547</v>
      </c>
      <c r="P51" s="129" t="s">
        <v>401</v>
      </c>
      <c r="Q51" s="129" t="s">
        <v>401</v>
      </c>
      <c r="R51" s="128">
        <v>2</v>
      </c>
      <c r="S51" s="128" t="str">
        <f>IFERROR(VLOOKUP(Q51,'Veicamo darbu apraksts'!$B$2:$D$39,2,FALSE),"")</f>
        <v>gab.</v>
      </c>
      <c r="T51" s="128">
        <f>IFERROR(VLOOKUP(Q51,'Veicamo darbu apraksts'!$B$2:$D$39,3,FALSE),"")</f>
        <v>7160</v>
      </c>
      <c r="U51" s="129">
        <f t="shared" si="10"/>
        <v>14320</v>
      </c>
      <c r="V51" s="132">
        <v>6000</v>
      </c>
      <c r="W51" s="133">
        <v>0.25</v>
      </c>
      <c r="X51" s="132">
        <v>20</v>
      </c>
      <c r="Y51" s="126">
        <f t="shared" si="3"/>
        <v>360000</v>
      </c>
      <c r="Z51" s="134">
        <f t="shared" si="4"/>
        <v>1440000</v>
      </c>
      <c r="AA51" s="135">
        <f t="shared" si="11"/>
        <v>3.977777777777778E-2</v>
      </c>
      <c r="AB51" s="135">
        <f t="shared" si="12"/>
        <v>9.944444444444445E-3</v>
      </c>
      <c r="AC51" s="303">
        <v>1</v>
      </c>
    </row>
    <row r="52" spans="1:29" s="136" customFormat="1" ht="67.5" customHeight="1">
      <c r="A52" s="127" t="s">
        <v>200</v>
      </c>
      <c r="B52" s="127" t="s">
        <v>200</v>
      </c>
      <c r="C52" s="128" t="s">
        <v>348</v>
      </c>
      <c r="D52" s="137" t="s">
        <v>548</v>
      </c>
      <c r="E52" s="130">
        <v>80700081231</v>
      </c>
      <c r="F52" s="147" t="s">
        <v>385</v>
      </c>
      <c r="G52" s="129" t="s">
        <v>490</v>
      </c>
      <c r="H52" s="129" t="s">
        <v>549</v>
      </c>
      <c r="I52" s="129"/>
      <c r="J52" s="137" t="s">
        <v>546</v>
      </c>
      <c r="K52" s="126"/>
      <c r="L52" s="126"/>
      <c r="M52" s="126"/>
      <c r="N52" s="126"/>
      <c r="O52" s="137" t="s">
        <v>547</v>
      </c>
      <c r="P52" s="129" t="s">
        <v>401</v>
      </c>
      <c r="Q52" s="129" t="s">
        <v>401</v>
      </c>
      <c r="R52" s="128">
        <v>1</v>
      </c>
      <c r="S52" s="128" t="str">
        <f>IFERROR(VLOOKUP(Q52,'Veicamo darbu apraksts'!$B$2:$D$39,2,FALSE),"")</f>
        <v>gab.</v>
      </c>
      <c r="T52" s="128">
        <f>IFERROR(VLOOKUP(Q52,'Veicamo darbu apraksts'!$B$2:$D$39,3,FALSE),"")</f>
        <v>7160</v>
      </c>
      <c r="U52" s="129">
        <f t="shared" si="10"/>
        <v>7160</v>
      </c>
      <c r="V52" s="132">
        <v>6000</v>
      </c>
      <c r="W52" s="133">
        <v>0.5</v>
      </c>
      <c r="X52" s="132">
        <v>20</v>
      </c>
      <c r="Y52" s="126">
        <f t="shared" si="3"/>
        <v>720000</v>
      </c>
      <c r="Z52" s="134">
        <f t="shared" si="4"/>
        <v>1440000</v>
      </c>
      <c r="AA52" s="135">
        <f t="shared" si="11"/>
        <v>9.944444444444445E-3</v>
      </c>
      <c r="AB52" s="135">
        <f t="shared" si="12"/>
        <v>4.9722222222222225E-3</v>
      </c>
      <c r="AC52" s="304">
        <v>1</v>
      </c>
    </row>
    <row r="53" spans="1:29" s="136" customFormat="1" ht="52.9">
      <c r="A53" s="127" t="s">
        <v>202</v>
      </c>
      <c r="B53" s="127" t="s">
        <v>202</v>
      </c>
      <c r="C53" s="128" t="s">
        <v>348</v>
      </c>
      <c r="D53" s="137" t="s">
        <v>550</v>
      </c>
      <c r="E53" s="130">
        <v>80700081312</v>
      </c>
      <c r="F53" s="147" t="s">
        <v>385</v>
      </c>
      <c r="G53" s="129" t="s">
        <v>490</v>
      </c>
      <c r="H53" s="129"/>
      <c r="I53" s="129"/>
      <c r="J53" s="137" t="s">
        <v>515</v>
      </c>
      <c r="K53" s="126"/>
      <c r="L53" s="126"/>
      <c r="M53" s="126"/>
      <c r="N53" s="126"/>
      <c r="O53" s="137" t="s">
        <v>551</v>
      </c>
      <c r="P53" s="129" t="s">
        <v>503</v>
      </c>
      <c r="Q53" s="129" t="s">
        <v>398</v>
      </c>
      <c r="R53" s="128">
        <v>6700</v>
      </c>
      <c r="S53" s="128" t="str">
        <f>IFERROR(VLOOKUP(Q53,'Veicamo darbu apraksts'!$B$2:$D$39,2,FALSE),"")</f>
        <v>m2</v>
      </c>
      <c r="T53" s="128">
        <f>IFERROR(VLOOKUP(Q53,'Veicamo darbu apraksts'!$B$2:$D$39,3,FALSE),"")</f>
        <v>55</v>
      </c>
      <c r="U53" s="129">
        <f t="shared" si="10"/>
        <v>368500</v>
      </c>
      <c r="V53" s="132">
        <v>2000</v>
      </c>
      <c r="W53" s="133">
        <v>1</v>
      </c>
      <c r="X53" s="132">
        <v>2</v>
      </c>
      <c r="Y53" s="126">
        <f t="shared" si="3"/>
        <v>48000</v>
      </c>
      <c r="Z53" s="134">
        <f t="shared" si="4"/>
        <v>48000</v>
      </c>
      <c r="AA53" s="135">
        <f t="shared" si="11"/>
        <v>7.677083333333333</v>
      </c>
      <c r="AB53" s="135">
        <f t="shared" si="12"/>
        <v>7.677083333333333</v>
      </c>
      <c r="AC53" s="303">
        <v>7</v>
      </c>
    </row>
    <row r="54" spans="1:29" s="136" customFormat="1" ht="26.45">
      <c r="A54" s="127" t="s">
        <v>204</v>
      </c>
      <c r="B54" s="127" t="s">
        <v>204</v>
      </c>
      <c r="C54" s="128" t="s">
        <v>348</v>
      </c>
      <c r="D54" s="137" t="s">
        <v>552</v>
      </c>
      <c r="E54" s="130">
        <v>80700081356</v>
      </c>
      <c r="F54" s="147" t="s">
        <v>518</v>
      </c>
      <c r="G54" s="129" t="s">
        <v>490</v>
      </c>
      <c r="H54" s="129"/>
      <c r="I54" s="129"/>
      <c r="J54" s="137" t="s">
        <v>553</v>
      </c>
      <c r="K54" s="126"/>
      <c r="L54" s="126"/>
      <c r="M54" s="126"/>
      <c r="N54" s="126"/>
      <c r="O54" s="137" t="s">
        <v>535</v>
      </c>
      <c r="P54" s="129" t="s">
        <v>423</v>
      </c>
      <c r="Q54" s="129" t="s">
        <v>423</v>
      </c>
      <c r="R54" s="128">
        <v>2</v>
      </c>
      <c r="S54" s="128" t="str">
        <f>IFERROR(VLOOKUP(Q54,'Veicamo darbu apraksts'!$B$2:$D$39,2,FALSE),"")</f>
        <v>gab.</v>
      </c>
      <c r="T54" s="128">
        <f>IFERROR(VLOOKUP(Q54,'Veicamo darbu apraksts'!$B$2:$D$39,3,FALSE),"")</f>
        <v>2765</v>
      </c>
      <c r="U54" s="129">
        <f t="shared" si="10"/>
        <v>5530</v>
      </c>
      <c r="V54" s="132">
        <v>6000</v>
      </c>
      <c r="W54" s="133">
        <v>0.15</v>
      </c>
      <c r="X54" s="132">
        <v>20</v>
      </c>
      <c r="Y54" s="126">
        <f t="shared" si="3"/>
        <v>216000</v>
      </c>
      <c r="Z54" s="134">
        <f t="shared" si="4"/>
        <v>1440000</v>
      </c>
      <c r="AA54" s="135">
        <f t="shared" si="11"/>
        <v>2.5601851851851851E-2</v>
      </c>
      <c r="AB54" s="135">
        <f t="shared" si="12"/>
        <v>3.840277777777778E-3</v>
      </c>
      <c r="AC54" s="303">
        <v>1</v>
      </c>
    </row>
    <row r="55" spans="1:29" s="136" customFormat="1" ht="79.150000000000006">
      <c r="A55" s="127" t="s">
        <v>554</v>
      </c>
      <c r="B55" s="127" t="s">
        <v>205</v>
      </c>
      <c r="C55" s="128" t="s">
        <v>346</v>
      </c>
      <c r="D55" s="137" t="s">
        <v>555</v>
      </c>
      <c r="E55" s="130">
        <v>80700080932001</v>
      </c>
      <c r="F55" s="147" t="s">
        <v>385</v>
      </c>
      <c r="G55" s="129" t="s">
        <v>490</v>
      </c>
      <c r="H55" s="129"/>
      <c r="I55" s="129"/>
      <c r="J55" s="137" t="s">
        <v>515</v>
      </c>
      <c r="K55" s="126"/>
      <c r="L55" s="126"/>
      <c r="M55" s="126"/>
      <c r="N55" s="126"/>
      <c r="O55" s="137" t="s">
        <v>556</v>
      </c>
      <c r="P55" s="129" t="s">
        <v>503</v>
      </c>
      <c r="Q55" s="129" t="s">
        <v>398</v>
      </c>
      <c r="R55" s="128">
        <v>7100</v>
      </c>
      <c r="S55" s="128" t="str">
        <f>IFERROR(VLOOKUP(Q55,'Veicamo darbu apraksts'!$B$2:$D$39,2,FALSE),"")</f>
        <v>m2</v>
      </c>
      <c r="T55" s="128">
        <f>IFERROR(VLOOKUP(Q55,'Veicamo darbu apraksts'!$B$2:$D$39,3,FALSE),"")</f>
        <v>55</v>
      </c>
      <c r="U55" s="129">
        <f t="shared" si="10"/>
        <v>390500</v>
      </c>
      <c r="V55" s="132">
        <v>1000</v>
      </c>
      <c r="W55" s="133">
        <v>0.5</v>
      </c>
      <c r="X55" s="132">
        <v>15</v>
      </c>
      <c r="Y55" s="126">
        <f t="shared" si="3"/>
        <v>90000</v>
      </c>
      <c r="Z55" s="134">
        <f t="shared" si="4"/>
        <v>180000</v>
      </c>
      <c r="AA55" s="135">
        <f t="shared" si="11"/>
        <v>4.3388888888888886</v>
      </c>
      <c r="AB55" s="135">
        <f t="shared" si="12"/>
        <v>2.1694444444444443</v>
      </c>
      <c r="AC55" s="303">
        <v>2</v>
      </c>
    </row>
    <row r="56" spans="1:29" s="136" customFormat="1" ht="88.15" customHeight="1">
      <c r="A56" s="254" t="s">
        <v>554</v>
      </c>
      <c r="B56" s="254" t="s">
        <v>206</v>
      </c>
      <c r="C56" s="255" t="s">
        <v>346</v>
      </c>
      <c r="D56" s="256" t="s">
        <v>555</v>
      </c>
      <c r="E56" s="257">
        <v>80700080932001</v>
      </c>
      <c r="F56" s="259" t="s">
        <v>385</v>
      </c>
      <c r="G56" s="156" t="s">
        <v>490</v>
      </c>
      <c r="H56" s="156"/>
      <c r="I56" s="129"/>
      <c r="J56" s="137" t="s">
        <v>515</v>
      </c>
      <c r="K56" s="126"/>
      <c r="L56" s="126"/>
      <c r="M56" s="126"/>
      <c r="N56" s="126"/>
      <c r="O56" s="137" t="s">
        <v>556</v>
      </c>
      <c r="P56" s="129" t="s">
        <v>423</v>
      </c>
      <c r="Q56" s="129" t="s">
        <v>423</v>
      </c>
      <c r="R56" s="128">
        <v>4</v>
      </c>
      <c r="S56" s="128" t="str">
        <f>IFERROR(VLOOKUP(Q56,'Veicamo darbu apraksts'!$B$2:$D$39,2,FALSE),"")</f>
        <v>gab.</v>
      </c>
      <c r="T56" s="128">
        <f>IFERROR(VLOOKUP(Q56,'Veicamo darbu apraksts'!$B$2:$D$39,3,FALSE),"")</f>
        <v>2765</v>
      </c>
      <c r="U56" s="129">
        <f t="shared" si="10"/>
        <v>11060</v>
      </c>
      <c r="V56" s="132">
        <v>1000</v>
      </c>
      <c r="W56" s="133">
        <v>0.15</v>
      </c>
      <c r="X56" s="132">
        <v>15</v>
      </c>
      <c r="Y56" s="126">
        <f t="shared" si="3"/>
        <v>27000</v>
      </c>
      <c r="Z56" s="134">
        <f t="shared" si="4"/>
        <v>180000</v>
      </c>
      <c r="AA56" s="135">
        <f t="shared" si="11"/>
        <v>0.40962962962962962</v>
      </c>
      <c r="AB56" s="135">
        <f t="shared" si="12"/>
        <v>6.1444444444444447E-2</v>
      </c>
      <c r="AC56" s="303">
        <v>2</v>
      </c>
    </row>
    <row r="57" spans="1:29" s="136" customFormat="1" ht="166.9" customHeight="1">
      <c r="A57" s="254" t="s">
        <v>557</v>
      </c>
      <c r="B57" s="254" t="s">
        <v>207</v>
      </c>
      <c r="C57" s="255" t="s">
        <v>348</v>
      </c>
      <c r="D57" s="256" t="s">
        <v>558</v>
      </c>
      <c r="E57" s="257">
        <v>80700083908</v>
      </c>
      <c r="F57" s="259" t="s">
        <v>518</v>
      </c>
      <c r="G57" s="156" t="s">
        <v>490</v>
      </c>
      <c r="H57" s="156" t="s">
        <v>559</v>
      </c>
      <c r="I57" s="129"/>
      <c r="J57" s="137" t="s">
        <v>553</v>
      </c>
      <c r="K57" s="126"/>
      <c r="L57" s="126"/>
      <c r="M57" s="126"/>
      <c r="N57" s="126"/>
      <c r="O57" s="129" t="s">
        <v>560</v>
      </c>
      <c r="P57" s="129" t="s">
        <v>423</v>
      </c>
      <c r="Q57" s="129" t="s">
        <v>423</v>
      </c>
      <c r="R57" s="128">
        <v>7</v>
      </c>
      <c r="S57" s="128" t="str">
        <f>IFERROR(VLOOKUP(Q57,'Veicamo darbu apraksts'!$B$2:$D$39,2,FALSE),"")</f>
        <v>gab.</v>
      </c>
      <c r="T57" s="128">
        <f>IFERROR(VLOOKUP(Q57,'Veicamo darbu apraksts'!$B$2:$D$39,3,FALSE),"")</f>
        <v>2765</v>
      </c>
      <c r="U57" s="129">
        <f t="shared" si="10"/>
        <v>19355</v>
      </c>
      <c r="V57" s="132">
        <v>500</v>
      </c>
      <c r="W57" s="133">
        <v>0.15</v>
      </c>
      <c r="X57" s="132">
        <v>15</v>
      </c>
      <c r="Y57" s="126">
        <f t="shared" si="3"/>
        <v>13500</v>
      </c>
      <c r="Z57" s="134">
        <f t="shared" si="4"/>
        <v>90000</v>
      </c>
      <c r="AA57" s="135">
        <f t="shared" si="11"/>
        <v>1.4337037037037037</v>
      </c>
      <c r="AB57" s="135">
        <f t="shared" si="11"/>
        <v>5.5555555555555558E-3</v>
      </c>
      <c r="AC57" s="303">
        <v>1</v>
      </c>
    </row>
    <row r="58" spans="1:29" s="136" customFormat="1" ht="51.4" customHeight="1">
      <c r="A58" s="254" t="s">
        <v>557</v>
      </c>
      <c r="B58" s="254" t="s">
        <v>208</v>
      </c>
      <c r="C58" s="255" t="s">
        <v>348</v>
      </c>
      <c r="D58" s="156" t="s">
        <v>561</v>
      </c>
      <c r="E58" s="257" t="s">
        <v>562</v>
      </c>
      <c r="F58" s="259" t="s">
        <v>562</v>
      </c>
      <c r="G58" s="156" t="s">
        <v>490</v>
      </c>
      <c r="H58" s="309" t="s">
        <v>563</v>
      </c>
      <c r="I58" s="140"/>
      <c r="J58" s="137" t="s">
        <v>513</v>
      </c>
      <c r="K58" s="126"/>
      <c r="L58" s="126"/>
      <c r="M58" s="126"/>
      <c r="N58" s="126"/>
      <c r="O58" s="129" t="s">
        <v>560</v>
      </c>
      <c r="P58" s="129" t="s">
        <v>423</v>
      </c>
      <c r="Q58" s="129" t="s">
        <v>423</v>
      </c>
      <c r="R58" s="128">
        <v>4</v>
      </c>
      <c r="S58" s="128" t="str">
        <f>IFERROR(VLOOKUP(Q58,'Veicamo darbu apraksts'!$B$2:$D$39,2,FALSE),"")</f>
        <v>gab.</v>
      </c>
      <c r="T58" s="128">
        <f>IFERROR(VLOOKUP(Q58,'Veicamo darbu apraksts'!$B$2:$D$39,3,FALSE),"")</f>
        <v>2765</v>
      </c>
      <c r="U58" s="129">
        <f t="shared" si="10"/>
        <v>11060</v>
      </c>
      <c r="V58" s="132">
        <v>1000</v>
      </c>
      <c r="W58" s="133">
        <v>0.3</v>
      </c>
      <c r="X58" s="132">
        <v>15</v>
      </c>
      <c r="Y58" s="126">
        <f t="shared" si="3"/>
        <v>54000</v>
      </c>
      <c r="Z58" s="134">
        <f t="shared" si="4"/>
        <v>180000</v>
      </c>
      <c r="AA58" s="135">
        <f t="shared" si="11"/>
        <v>0.20481481481481481</v>
      </c>
      <c r="AB58" s="135">
        <f t="shared" si="11"/>
        <v>5.5555555555555558E-3</v>
      </c>
      <c r="AC58" s="303">
        <v>2</v>
      </c>
    </row>
    <row r="59" spans="1:29" s="136" customFormat="1" ht="51.4" customHeight="1">
      <c r="A59" s="254" t="s">
        <v>275</v>
      </c>
      <c r="B59" s="254" t="s">
        <v>275</v>
      </c>
      <c r="C59" s="255" t="s">
        <v>345</v>
      </c>
      <c r="D59" s="156" t="s">
        <v>564</v>
      </c>
      <c r="E59" s="257">
        <v>80700083309</v>
      </c>
      <c r="F59" s="147" t="s">
        <v>385</v>
      </c>
      <c r="G59" s="156" t="s">
        <v>490</v>
      </c>
      <c r="H59" s="258"/>
      <c r="I59" s="140"/>
      <c r="J59" s="137" t="s">
        <v>565</v>
      </c>
      <c r="K59" s="126"/>
      <c r="L59" s="126"/>
      <c r="M59" s="126"/>
      <c r="N59" s="126"/>
      <c r="O59" s="129" t="s">
        <v>566</v>
      </c>
      <c r="P59" s="129" t="s">
        <v>567</v>
      </c>
      <c r="Q59" s="129" t="s">
        <v>568</v>
      </c>
      <c r="R59" s="128">
        <v>2000</v>
      </c>
      <c r="S59" s="128" t="s">
        <v>475</v>
      </c>
      <c r="T59" s="128">
        <f>'Veicamo darbu apraksts'!D47</f>
        <v>250</v>
      </c>
      <c r="U59" s="129">
        <f t="shared" si="10"/>
        <v>500000</v>
      </c>
      <c r="V59" s="132">
        <v>400</v>
      </c>
      <c r="W59" s="133">
        <v>1</v>
      </c>
      <c r="X59" s="132">
        <v>15</v>
      </c>
      <c r="Y59" s="126">
        <f t="shared" si="3"/>
        <v>72000</v>
      </c>
      <c r="Z59" s="134">
        <f t="shared" si="4"/>
        <v>72000</v>
      </c>
      <c r="AA59" s="135">
        <f t="shared" si="11"/>
        <v>6.9444444444444446</v>
      </c>
      <c r="AB59" s="135">
        <f t="shared" si="11"/>
        <v>5.5555555555555558E-3</v>
      </c>
      <c r="AC59" s="303">
        <v>7</v>
      </c>
    </row>
    <row r="60" spans="1:29" s="136" customFormat="1" ht="51.4" customHeight="1">
      <c r="A60" s="254" t="s">
        <v>210</v>
      </c>
      <c r="B60" s="254" t="s">
        <v>210</v>
      </c>
      <c r="C60" s="255" t="s">
        <v>346</v>
      </c>
      <c r="D60" s="156" t="s">
        <v>569</v>
      </c>
      <c r="E60" s="257">
        <v>80700081782</v>
      </c>
      <c r="F60" s="147" t="s">
        <v>385</v>
      </c>
      <c r="G60" s="156" t="s">
        <v>490</v>
      </c>
      <c r="H60" s="322"/>
      <c r="I60" s="140"/>
      <c r="J60" s="137" t="s">
        <v>570</v>
      </c>
      <c r="K60" s="126"/>
      <c r="L60" s="126"/>
      <c r="M60" s="126"/>
      <c r="N60" s="126"/>
      <c r="O60" s="129" t="s">
        <v>571</v>
      </c>
      <c r="P60" s="129" t="s">
        <v>506</v>
      </c>
      <c r="Q60" s="129" t="s">
        <v>570</v>
      </c>
      <c r="R60" s="128">
        <v>1</v>
      </c>
      <c r="S60" s="129" t="s">
        <v>493</v>
      </c>
      <c r="T60" s="128">
        <f>'Veicamo darbu apraksts'!D38</f>
        <v>15000</v>
      </c>
      <c r="U60" s="129">
        <f t="shared" si="10"/>
        <v>15000</v>
      </c>
      <c r="V60" s="132">
        <v>150</v>
      </c>
      <c r="W60" s="133">
        <v>0.5</v>
      </c>
      <c r="X60" s="132">
        <v>0.5</v>
      </c>
      <c r="Y60" s="126">
        <f t="shared" si="3"/>
        <v>450</v>
      </c>
      <c r="Z60" s="134">
        <f t="shared" si="4"/>
        <v>900</v>
      </c>
      <c r="AA60" s="135">
        <f t="shared" si="11"/>
        <v>33.333333333333336</v>
      </c>
      <c r="AB60" s="135">
        <f t="shared" si="11"/>
        <v>0.16666666666666666</v>
      </c>
      <c r="AC60" s="303">
        <v>7</v>
      </c>
    </row>
    <row r="61" spans="1:29" s="136" customFormat="1" ht="39.6">
      <c r="A61" s="127" t="s">
        <v>267</v>
      </c>
      <c r="B61" s="127" t="s">
        <v>267</v>
      </c>
      <c r="C61" s="128" t="s">
        <v>328</v>
      </c>
      <c r="D61" s="137" t="s">
        <v>572</v>
      </c>
      <c r="E61" s="130">
        <v>80700070576</v>
      </c>
      <c r="F61" s="147" t="s">
        <v>385</v>
      </c>
      <c r="G61" s="129" t="s">
        <v>386</v>
      </c>
      <c r="H61" s="129" t="s">
        <v>573</v>
      </c>
      <c r="I61" s="365" t="s">
        <v>409</v>
      </c>
      <c r="J61" s="129" t="s">
        <v>388</v>
      </c>
      <c r="K61" s="131" t="s">
        <v>389</v>
      </c>
      <c r="L61" s="131" t="s">
        <v>389</v>
      </c>
      <c r="M61" s="139" t="s">
        <v>404</v>
      </c>
      <c r="N61" s="138" t="s">
        <v>395</v>
      </c>
      <c r="O61" s="129" t="s">
        <v>478</v>
      </c>
      <c r="P61" s="129" t="s">
        <v>574</v>
      </c>
      <c r="Q61" s="129" t="s">
        <v>463</v>
      </c>
      <c r="R61" s="128">
        <v>5900</v>
      </c>
      <c r="S61" s="128" t="str">
        <f>IFERROR(VLOOKUP(Q61,'Veicamo darbu apraksts'!$B$2:$D$39,2,FALSE),"")</f>
        <v>m2</v>
      </c>
      <c r="T61" s="128">
        <f>IFERROR(VLOOKUP(Q61,'Veicamo darbu apraksts'!$B$2:$D$39,3,FALSE),"")</f>
        <v>50</v>
      </c>
      <c r="U61" s="365"/>
      <c r="V61" s="132">
        <v>250</v>
      </c>
      <c r="W61" s="133">
        <v>0.3</v>
      </c>
      <c r="X61" s="132">
        <v>20</v>
      </c>
      <c r="Y61" s="126">
        <f t="shared" si="3"/>
        <v>18000</v>
      </c>
      <c r="Z61" s="134">
        <f t="shared" si="4"/>
        <v>60000</v>
      </c>
      <c r="AA61" s="135">
        <f t="shared" si="11"/>
        <v>0</v>
      </c>
      <c r="AB61" s="135">
        <f t="shared" si="12"/>
        <v>0</v>
      </c>
      <c r="AC61" s="303">
        <v>2</v>
      </c>
    </row>
    <row r="62" spans="1:29" s="136" customFormat="1" ht="79.150000000000006">
      <c r="A62" s="127" t="s">
        <v>269</v>
      </c>
      <c r="B62" s="127" t="s">
        <v>269</v>
      </c>
      <c r="C62" s="128" t="s">
        <v>328</v>
      </c>
      <c r="D62" s="137" t="s">
        <v>575</v>
      </c>
      <c r="E62" s="130">
        <v>80700070375</v>
      </c>
      <c r="F62" s="147" t="s">
        <v>385</v>
      </c>
      <c r="G62" s="129" t="s">
        <v>386</v>
      </c>
      <c r="H62" s="129" t="s">
        <v>576</v>
      </c>
      <c r="I62" s="129"/>
      <c r="J62" s="129" t="s">
        <v>469</v>
      </c>
      <c r="K62" s="131" t="s">
        <v>389</v>
      </c>
      <c r="L62" s="131" t="s">
        <v>389</v>
      </c>
      <c r="M62" s="138" t="s">
        <v>395</v>
      </c>
      <c r="N62" s="131" t="s">
        <v>389</v>
      </c>
      <c r="O62" s="142" t="s">
        <v>478</v>
      </c>
      <c r="P62" s="129" t="s">
        <v>577</v>
      </c>
      <c r="Q62" s="129" t="s">
        <v>578</v>
      </c>
      <c r="R62" s="128">
        <v>1</v>
      </c>
      <c r="S62" s="128" t="str">
        <f>IFERROR(VLOOKUP(Q62,'Veicamo darbu apraksts'!$B$2:$D$39,2,FALSE),"")</f>
        <v>gab.</v>
      </c>
      <c r="T62" s="128">
        <f>IFERROR(VLOOKUP(Q62,'Veicamo darbu apraksts'!$B$2:$D$39,3,FALSE),"")</f>
        <v>7160</v>
      </c>
      <c r="U62" s="129">
        <f t="shared" si="10"/>
        <v>7160</v>
      </c>
      <c r="V62" s="132">
        <v>3000</v>
      </c>
      <c r="W62" s="133">
        <v>1</v>
      </c>
      <c r="X62" s="132">
        <v>3</v>
      </c>
      <c r="Y62" s="126">
        <f t="shared" si="3"/>
        <v>108000</v>
      </c>
      <c r="Z62" s="134">
        <f t="shared" si="4"/>
        <v>108000</v>
      </c>
      <c r="AA62" s="135">
        <f t="shared" si="11"/>
        <v>6.6296296296296298E-2</v>
      </c>
      <c r="AB62" s="135">
        <f t="shared" si="12"/>
        <v>6.6296296296296298E-2</v>
      </c>
      <c r="AC62" s="303">
        <v>7</v>
      </c>
    </row>
    <row r="63" spans="1:29" s="136" customFormat="1" ht="60" customHeight="1">
      <c r="A63" s="127" t="s">
        <v>271</v>
      </c>
      <c r="B63" s="127" t="s">
        <v>271</v>
      </c>
      <c r="C63" s="128" t="s">
        <v>328</v>
      </c>
      <c r="D63" s="137" t="s">
        <v>579</v>
      </c>
      <c r="E63" s="130">
        <v>80700070575</v>
      </c>
      <c r="F63" s="147" t="s">
        <v>385</v>
      </c>
      <c r="G63" s="129" t="s">
        <v>386</v>
      </c>
      <c r="H63" s="129"/>
      <c r="I63" s="129"/>
      <c r="J63" s="129" t="s">
        <v>388</v>
      </c>
      <c r="K63" s="131" t="s">
        <v>389</v>
      </c>
      <c r="L63" s="131" t="s">
        <v>389</v>
      </c>
      <c r="M63" s="138" t="s">
        <v>395</v>
      </c>
      <c r="N63" s="131" t="s">
        <v>389</v>
      </c>
      <c r="O63" s="129" t="s">
        <v>478</v>
      </c>
      <c r="P63" s="129" t="s">
        <v>580</v>
      </c>
      <c r="Q63" s="129" t="s">
        <v>448</v>
      </c>
      <c r="R63" s="128">
        <v>4700</v>
      </c>
      <c r="S63" s="128">
        <f>IFERROR(VLOOKUP(Q63,'Veicamo darbu apraksts'!$B$2:$D$39,2,FALSE),"")</f>
        <v>0</v>
      </c>
      <c r="T63" s="128">
        <f>IFERROR(VLOOKUP(Q63,'Veicamo darbu apraksts'!$B$2:$D$39,3,FALSE),"")</f>
        <v>0</v>
      </c>
      <c r="U63" s="129">
        <f t="shared" si="10"/>
        <v>0</v>
      </c>
      <c r="V63" s="132">
        <v>6000</v>
      </c>
      <c r="W63" s="133">
        <v>0.25</v>
      </c>
      <c r="X63" s="132">
        <v>8</v>
      </c>
      <c r="Y63" s="126">
        <f t="shared" si="3"/>
        <v>144000</v>
      </c>
      <c r="Z63" s="134">
        <f t="shared" si="4"/>
        <v>576000</v>
      </c>
      <c r="AA63" s="135">
        <f t="shared" si="11"/>
        <v>0</v>
      </c>
      <c r="AB63" s="135">
        <f t="shared" si="12"/>
        <v>0</v>
      </c>
      <c r="AC63" s="303">
        <v>7</v>
      </c>
    </row>
    <row r="64" spans="1:29" s="145" customFormat="1" ht="52.9">
      <c r="A64" s="127" t="s">
        <v>272</v>
      </c>
      <c r="B64" s="127" t="s">
        <v>272</v>
      </c>
      <c r="C64" s="128" t="s">
        <v>328</v>
      </c>
      <c r="D64" s="137" t="s">
        <v>581</v>
      </c>
      <c r="E64" s="130">
        <v>80700050064</v>
      </c>
      <c r="F64" s="147" t="s">
        <v>385</v>
      </c>
      <c r="G64" s="129" t="s">
        <v>386</v>
      </c>
      <c r="H64" s="129" t="s">
        <v>582</v>
      </c>
      <c r="I64" s="129"/>
      <c r="J64" s="137" t="s">
        <v>454</v>
      </c>
      <c r="K64" s="139" t="s">
        <v>404</v>
      </c>
      <c r="L64" s="139" t="s">
        <v>404</v>
      </c>
      <c r="M64" s="139" t="s">
        <v>404</v>
      </c>
      <c r="N64" s="138" t="s">
        <v>395</v>
      </c>
      <c r="O64" s="129" t="s">
        <v>583</v>
      </c>
      <c r="P64" s="129" t="s">
        <v>577</v>
      </c>
      <c r="Q64" s="129" t="s">
        <v>578</v>
      </c>
      <c r="R64" s="128">
        <v>1</v>
      </c>
      <c r="S64" s="128" t="str">
        <f>IFERROR(VLOOKUP(Q64,'Veicamo darbu apraksts'!$B$2:$D$39,2,FALSE),"")</f>
        <v>gab.</v>
      </c>
      <c r="T64" s="128">
        <f>IFERROR(VLOOKUP(Q64,'Veicamo darbu apraksts'!$B$2:$D$39,3,FALSE),"")</f>
        <v>7160</v>
      </c>
      <c r="U64" s="129">
        <f t="shared" si="10"/>
        <v>7160</v>
      </c>
      <c r="V64" s="143">
        <v>1000</v>
      </c>
      <c r="W64" s="144">
        <v>0.75</v>
      </c>
      <c r="X64" s="143">
        <v>2</v>
      </c>
      <c r="Y64" s="126">
        <f t="shared" si="3"/>
        <v>18000</v>
      </c>
      <c r="Z64" s="134">
        <f t="shared" si="4"/>
        <v>24000</v>
      </c>
      <c r="AA64" s="135">
        <f t="shared" si="11"/>
        <v>0.39777777777777779</v>
      </c>
      <c r="AB64" s="135">
        <f t="shared" si="12"/>
        <v>0.29833333333333334</v>
      </c>
      <c r="AC64" s="303">
        <v>7</v>
      </c>
    </row>
    <row r="65" spans="1:29" s="136" customFormat="1" ht="47.25" customHeight="1">
      <c r="A65" s="127" t="s">
        <v>273</v>
      </c>
      <c r="B65" s="127" t="s">
        <v>273</v>
      </c>
      <c r="C65" s="128" t="s">
        <v>328</v>
      </c>
      <c r="D65" s="137" t="s">
        <v>584</v>
      </c>
      <c r="E65" s="130">
        <v>80700020562</v>
      </c>
      <c r="F65" s="147" t="s">
        <v>385</v>
      </c>
      <c r="G65" s="129" t="s">
        <v>386</v>
      </c>
      <c r="H65" s="129"/>
      <c r="I65" s="129"/>
      <c r="J65" s="129" t="s">
        <v>434</v>
      </c>
      <c r="K65" s="138" t="s">
        <v>395</v>
      </c>
      <c r="L65" s="131" t="s">
        <v>389</v>
      </c>
      <c r="M65" s="138" t="s">
        <v>395</v>
      </c>
      <c r="N65" s="131" t="s">
        <v>389</v>
      </c>
      <c r="O65" s="146" t="s">
        <v>478</v>
      </c>
      <c r="P65" s="146" t="s">
        <v>562</v>
      </c>
      <c r="Q65" s="129" t="s">
        <v>578</v>
      </c>
      <c r="R65" s="128">
        <v>3000</v>
      </c>
      <c r="S65" s="128" t="str">
        <f>IFERROR(VLOOKUP(Q65,'Veicamo darbu apraksts'!$B$2:$D$39,2,FALSE),"")</f>
        <v>gab.</v>
      </c>
      <c r="T65" s="128">
        <f>IFERROR(VLOOKUP(Q65,'Veicamo darbu apraksts'!$B$2:$D$39,3,FALSE),"")</f>
        <v>7160</v>
      </c>
      <c r="U65" s="129">
        <f t="shared" si="10"/>
        <v>21480000</v>
      </c>
      <c r="V65" s="132">
        <v>3000</v>
      </c>
      <c r="W65" s="133">
        <v>1</v>
      </c>
      <c r="X65" s="132">
        <v>4</v>
      </c>
      <c r="Y65" s="126">
        <f t="shared" si="3"/>
        <v>144000</v>
      </c>
      <c r="Z65" s="134">
        <f t="shared" si="4"/>
        <v>144000</v>
      </c>
      <c r="AA65" s="135">
        <f t="shared" si="11"/>
        <v>149.16666666666666</v>
      </c>
      <c r="AB65" s="135">
        <f t="shared" si="12"/>
        <v>149.16666666666666</v>
      </c>
      <c r="AC65" s="303">
        <v>7</v>
      </c>
    </row>
    <row r="66" spans="1:29" s="136" customFormat="1" ht="39.6">
      <c r="A66" s="127" t="s">
        <v>585</v>
      </c>
      <c r="B66" s="127" t="s">
        <v>585</v>
      </c>
      <c r="C66" s="128" t="s">
        <v>328</v>
      </c>
      <c r="D66" s="137" t="s">
        <v>586</v>
      </c>
      <c r="E66" s="130">
        <v>80700020170</v>
      </c>
      <c r="F66" s="147" t="s">
        <v>442</v>
      </c>
      <c r="G66" s="129" t="s">
        <v>386</v>
      </c>
      <c r="H66" s="129"/>
      <c r="I66" s="365" t="s">
        <v>444</v>
      </c>
      <c r="J66" s="129" t="s">
        <v>388</v>
      </c>
      <c r="K66" s="138" t="s">
        <v>395</v>
      </c>
      <c r="L66" s="131" t="s">
        <v>389</v>
      </c>
      <c r="M66" s="131" t="s">
        <v>389</v>
      </c>
      <c r="N66" s="131" t="s">
        <v>389</v>
      </c>
      <c r="O66" s="146" t="s">
        <v>478</v>
      </c>
      <c r="P66" s="146" t="s">
        <v>478</v>
      </c>
      <c r="Q66" s="129" t="s">
        <v>391</v>
      </c>
      <c r="R66" s="128">
        <v>1500</v>
      </c>
      <c r="S66" s="128" t="str">
        <f>IFERROR(VLOOKUP(Q66,'Veicamo darbu apraksts'!$B$2:$D$39,2,FALSE),"")</f>
        <v>m2</v>
      </c>
      <c r="T66" s="128">
        <f>IFERROR(VLOOKUP(Q66,'Veicamo darbu apraksts'!$B$2:$D$39,3,FALSE),"")</f>
        <v>50</v>
      </c>
      <c r="U66" s="365"/>
      <c r="V66" s="132">
        <v>500</v>
      </c>
      <c r="W66" s="133">
        <v>0.3</v>
      </c>
      <c r="X66" s="132">
        <v>4</v>
      </c>
      <c r="Y66" s="126">
        <f t="shared" si="3"/>
        <v>7200</v>
      </c>
      <c r="Z66" s="134">
        <f t="shared" si="4"/>
        <v>24000</v>
      </c>
      <c r="AA66" s="135">
        <f t="shared" si="11"/>
        <v>0</v>
      </c>
      <c r="AB66" s="135">
        <f t="shared" si="12"/>
        <v>0</v>
      </c>
      <c r="AC66" s="303">
        <v>7</v>
      </c>
    </row>
    <row r="67" spans="1:29" s="136" customFormat="1" ht="52.9">
      <c r="A67" s="127" t="s">
        <v>270</v>
      </c>
      <c r="B67" s="127" t="s">
        <v>270</v>
      </c>
      <c r="C67" s="128" t="s">
        <v>328</v>
      </c>
      <c r="D67" s="137" t="s">
        <v>587</v>
      </c>
      <c r="E67" s="130">
        <v>80700070095</v>
      </c>
      <c r="F67" s="147" t="s">
        <v>425</v>
      </c>
      <c r="G67" s="129" t="s">
        <v>386</v>
      </c>
      <c r="H67" s="140"/>
      <c r="I67" s="129"/>
      <c r="J67" s="129" t="s">
        <v>588</v>
      </c>
      <c r="K67" s="139" t="s">
        <v>404</v>
      </c>
      <c r="L67" s="139" t="s">
        <v>404</v>
      </c>
      <c r="M67" s="139" t="s">
        <v>404</v>
      </c>
      <c r="N67" s="139" t="s">
        <v>404</v>
      </c>
      <c r="O67" s="129" t="s">
        <v>589</v>
      </c>
      <c r="P67" s="129" t="s">
        <v>450</v>
      </c>
      <c r="Q67" s="129" t="s">
        <v>450</v>
      </c>
      <c r="R67" s="128">
        <v>1</v>
      </c>
      <c r="S67" s="128" t="str">
        <f>IFERROR(VLOOKUP(Q67,'Veicamo darbu apraksts'!$B$2:$D$39,2,FALSE),"")</f>
        <v>gab.</v>
      </c>
      <c r="T67" s="128">
        <f>IFERROR(VLOOKUP(Q67,'Veicamo darbu apraksts'!$B$2:$D$39,3,FALSE),"")</f>
        <v>90</v>
      </c>
      <c r="U67" s="129">
        <f t="shared" si="10"/>
        <v>90</v>
      </c>
      <c r="V67" s="132">
        <v>100</v>
      </c>
      <c r="W67" s="133">
        <v>0.15</v>
      </c>
      <c r="X67" s="132">
        <v>1</v>
      </c>
      <c r="Y67" s="126">
        <f t="shared" si="3"/>
        <v>180</v>
      </c>
      <c r="Z67" s="134">
        <f t="shared" si="4"/>
        <v>1200</v>
      </c>
      <c r="AA67" s="135">
        <f t="shared" si="11"/>
        <v>0.5</v>
      </c>
      <c r="AB67" s="135">
        <f t="shared" si="12"/>
        <v>7.4999999999999997E-2</v>
      </c>
      <c r="AC67" s="303">
        <v>1</v>
      </c>
    </row>
    <row r="68" spans="1:29" s="136" customFormat="1" ht="65.25" customHeight="1">
      <c r="A68" s="127" t="s">
        <v>254</v>
      </c>
      <c r="B68" s="127" t="s">
        <v>254</v>
      </c>
      <c r="C68" s="128" t="s">
        <v>328</v>
      </c>
      <c r="D68" s="137" t="s">
        <v>590</v>
      </c>
      <c r="E68" s="130">
        <v>80700070463</v>
      </c>
      <c r="F68" s="147" t="s">
        <v>385</v>
      </c>
      <c r="G68" s="129" t="s">
        <v>386</v>
      </c>
      <c r="H68" s="129" t="s">
        <v>591</v>
      </c>
      <c r="I68" s="365" t="s">
        <v>444</v>
      </c>
      <c r="J68" s="129" t="s">
        <v>588</v>
      </c>
      <c r="K68" s="139" t="s">
        <v>404</v>
      </c>
      <c r="L68" s="139" t="s">
        <v>404</v>
      </c>
      <c r="M68" s="139" t="s">
        <v>404</v>
      </c>
      <c r="N68" s="139" t="s">
        <v>404</v>
      </c>
      <c r="O68" s="129" t="s">
        <v>589</v>
      </c>
      <c r="P68" s="129" t="s">
        <v>450</v>
      </c>
      <c r="Q68" s="129" t="s">
        <v>450</v>
      </c>
      <c r="R68" s="128">
        <v>1</v>
      </c>
      <c r="S68" s="128" t="str">
        <f>IFERROR(VLOOKUP(Q68,'Veicamo darbu apraksts'!$B$2:$D$39,2,FALSE),"")</f>
        <v>gab.</v>
      </c>
      <c r="T68" s="128">
        <f>IFERROR(VLOOKUP(Q68,'Veicamo darbu apraksts'!$B$2:$D$39,3,FALSE),"")</f>
        <v>90</v>
      </c>
      <c r="U68" s="365"/>
      <c r="V68" s="132">
        <v>100</v>
      </c>
      <c r="W68" s="133">
        <v>0.15</v>
      </c>
      <c r="X68" s="132">
        <v>1</v>
      </c>
      <c r="Y68" s="126">
        <f t="shared" si="3"/>
        <v>180</v>
      </c>
      <c r="Z68" s="134">
        <f t="shared" si="4"/>
        <v>1200</v>
      </c>
      <c r="AA68" s="135">
        <f t="shared" si="11"/>
        <v>0</v>
      </c>
      <c r="AB68" s="135">
        <f t="shared" si="12"/>
        <v>0</v>
      </c>
      <c r="AC68" s="303">
        <v>1</v>
      </c>
    </row>
    <row r="69" spans="1:29" s="136" customFormat="1" ht="39.6">
      <c r="A69" s="127" t="s">
        <v>243</v>
      </c>
      <c r="B69" s="127" t="s">
        <v>243</v>
      </c>
      <c r="C69" s="128" t="s">
        <v>328</v>
      </c>
      <c r="D69" s="137" t="s">
        <v>592</v>
      </c>
      <c r="E69" s="130">
        <v>80700020618</v>
      </c>
      <c r="F69" s="147" t="s">
        <v>385</v>
      </c>
      <c r="G69" s="129" t="s">
        <v>490</v>
      </c>
      <c r="H69" s="129"/>
      <c r="I69" s="129"/>
      <c r="J69" s="137" t="s">
        <v>421</v>
      </c>
      <c r="K69" s="138" t="s">
        <v>395</v>
      </c>
      <c r="L69" s="139" t="s">
        <v>404</v>
      </c>
      <c r="M69" s="138" t="s">
        <v>395</v>
      </c>
      <c r="N69" s="138" t="s">
        <v>395</v>
      </c>
      <c r="O69" s="129" t="s">
        <v>593</v>
      </c>
      <c r="P69" s="129" t="s">
        <v>594</v>
      </c>
      <c r="Q69" s="129" t="s">
        <v>595</v>
      </c>
      <c r="R69" s="128">
        <v>5500</v>
      </c>
      <c r="S69" s="128" t="str">
        <f>IFERROR(VLOOKUP(Q69,'Veicamo darbu apraksts'!$B$2:$D$39,2,FALSE),"")</f>
        <v>m2</v>
      </c>
      <c r="T69" s="128">
        <f>IFERROR(VLOOKUP(Q69,'Veicamo darbu apraksts'!$B$2:$D$39,3,FALSE),"")</f>
        <v>75</v>
      </c>
      <c r="U69" s="129">
        <f t="shared" si="10"/>
        <v>412500</v>
      </c>
      <c r="V69" s="132">
        <v>3000</v>
      </c>
      <c r="W69" s="133">
        <v>0.5</v>
      </c>
      <c r="X69" s="132">
        <v>10</v>
      </c>
      <c r="Y69" s="126">
        <f t="shared" si="3"/>
        <v>180000</v>
      </c>
      <c r="Z69" s="134">
        <f t="shared" si="4"/>
        <v>360000</v>
      </c>
      <c r="AA69" s="135">
        <f t="shared" si="11"/>
        <v>2.2916666666666665</v>
      </c>
      <c r="AB69" s="135">
        <f t="shared" si="12"/>
        <v>1.1458333333333333</v>
      </c>
      <c r="AC69" s="303">
        <v>3</v>
      </c>
    </row>
    <row r="70" spans="1:29" s="136" customFormat="1" ht="39.6">
      <c r="A70" s="127" t="s">
        <v>244</v>
      </c>
      <c r="B70" s="127" t="s">
        <v>244</v>
      </c>
      <c r="C70" s="128" t="s">
        <v>328</v>
      </c>
      <c r="D70" s="137" t="s">
        <v>596</v>
      </c>
      <c r="E70" s="130">
        <v>80700010046</v>
      </c>
      <c r="F70" s="147" t="s">
        <v>597</v>
      </c>
      <c r="G70" s="129" t="s">
        <v>490</v>
      </c>
      <c r="H70" s="129"/>
      <c r="I70" s="129"/>
      <c r="J70" s="137" t="s">
        <v>421</v>
      </c>
      <c r="K70" s="139" t="s">
        <v>404</v>
      </c>
      <c r="L70" s="139" t="s">
        <v>404</v>
      </c>
      <c r="M70" s="139" t="s">
        <v>404</v>
      </c>
      <c r="N70" s="138" t="s">
        <v>395</v>
      </c>
      <c r="O70" s="129" t="s">
        <v>598</v>
      </c>
      <c r="P70" s="129" t="s">
        <v>599</v>
      </c>
      <c r="Q70" s="129" t="s">
        <v>599</v>
      </c>
      <c r="R70" s="128">
        <v>4000</v>
      </c>
      <c r="S70" s="128" t="str">
        <f>IFERROR(VLOOKUP(Q70,'Veicamo darbu apraksts'!$B$2:$D$39,2,FALSE),"")</f>
        <v>m2</v>
      </c>
      <c r="T70" s="128">
        <f>IFERROR(VLOOKUP(Q70,'Veicamo darbu apraksts'!$B$2:$D$39,3,FALSE),"")</f>
        <v>25</v>
      </c>
      <c r="U70" s="129">
        <f t="shared" si="10"/>
        <v>100000</v>
      </c>
      <c r="V70" s="132">
        <v>6000</v>
      </c>
      <c r="W70" s="133">
        <v>1.5</v>
      </c>
      <c r="X70" s="132">
        <v>4</v>
      </c>
      <c r="Y70" s="126">
        <f t="shared" si="3"/>
        <v>432000</v>
      </c>
      <c r="Z70" s="134">
        <f t="shared" si="4"/>
        <v>288000</v>
      </c>
      <c r="AA70" s="135">
        <f t="shared" si="11"/>
        <v>0.23148148148148148</v>
      </c>
      <c r="AB70" s="135">
        <f t="shared" si="12"/>
        <v>0.34722222222222221</v>
      </c>
      <c r="AC70" s="303">
        <v>3</v>
      </c>
    </row>
    <row r="71" spans="1:29" s="136" customFormat="1" ht="66">
      <c r="A71" s="127" t="s">
        <v>245</v>
      </c>
      <c r="B71" s="127" t="s">
        <v>245</v>
      </c>
      <c r="C71" s="128" t="s">
        <v>328</v>
      </c>
      <c r="D71" s="137" t="s">
        <v>600</v>
      </c>
      <c r="E71" s="130">
        <v>80700050150</v>
      </c>
      <c r="F71" s="147" t="s">
        <v>385</v>
      </c>
      <c r="G71" s="129" t="s">
        <v>490</v>
      </c>
      <c r="H71" s="129"/>
      <c r="I71" s="129"/>
      <c r="J71" s="129" t="s">
        <v>601</v>
      </c>
      <c r="K71" s="148"/>
      <c r="L71" s="138"/>
      <c r="M71" s="139"/>
      <c r="N71" s="138"/>
      <c r="O71" s="129" t="s">
        <v>602</v>
      </c>
      <c r="P71" s="129" t="s">
        <v>603</v>
      </c>
      <c r="Q71" s="129" t="s">
        <v>603</v>
      </c>
      <c r="R71" s="128">
        <v>5400</v>
      </c>
      <c r="S71" s="128" t="str">
        <f>IFERROR(VLOOKUP(Q71,'Veicamo darbu apraksts'!$B$2:$D$39,2,FALSE),"")</f>
        <v>m2</v>
      </c>
      <c r="T71" s="128">
        <f>IFERROR(VLOOKUP(Q71,'Veicamo darbu apraksts'!$B$2:$D$39,3,FALSE),"")</f>
        <v>40</v>
      </c>
      <c r="U71" s="129">
        <f>IFERROR(R71*T71,0)</f>
        <v>216000</v>
      </c>
      <c r="V71" s="132">
        <v>1000</v>
      </c>
      <c r="W71" s="133">
        <v>0.75</v>
      </c>
      <c r="X71" s="132">
        <v>2</v>
      </c>
      <c r="Y71" s="126">
        <f t="shared" si="3"/>
        <v>18000</v>
      </c>
      <c r="Z71" s="134">
        <f t="shared" si="4"/>
        <v>24000</v>
      </c>
      <c r="AA71" s="135">
        <f t="shared" si="11"/>
        <v>12</v>
      </c>
      <c r="AB71" s="135">
        <f t="shared" si="12"/>
        <v>9</v>
      </c>
      <c r="AC71" s="304">
        <v>7</v>
      </c>
    </row>
    <row r="72" spans="1:29" s="136" customFormat="1" ht="79.150000000000006">
      <c r="A72" s="127" t="s">
        <v>604</v>
      </c>
      <c r="B72" s="127" t="s">
        <v>246</v>
      </c>
      <c r="C72" s="128" t="s">
        <v>328</v>
      </c>
      <c r="D72" s="137" t="s">
        <v>605</v>
      </c>
      <c r="E72" s="130">
        <v>80700050048</v>
      </c>
      <c r="F72" s="128" t="s">
        <v>606</v>
      </c>
      <c r="G72" s="129" t="s">
        <v>490</v>
      </c>
      <c r="H72" s="129"/>
      <c r="I72" s="129"/>
      <c r="J72" s="129" t="s">
        <v>434</v>
      </c>
      <c r="K72" s="148"/>
      <c r="L72" s="138"/>
      <c r="M72" s="139"/>
      <c r="N72" s="138"/>
      <c r="O72" s="129" t="s">
        <v>607</v>
      </c>
      <c r="P72" s="129" t="s">
        <v>608</v>
      </c>
      <c r="Q72" s="129" t="s">
        <v>608</v>
      </c>
      <c r="R72" s="128">
        <v>20000</v>
      </c>
      <c r="S72" s="128" t="str">
        <f>IFERROR(VLOOKUP(Q72,'Veicamo darbu apraksts'!$B$2:$D$39,2,FALSE),"")</f>
        <v>m2</v>
      </c>
      <c r="T72" s="128">
        <f>IFERROR(VLOOKUP(Q72,'Veicamo darbu apraksts'!$B$2:$D$39,3,FALSE),"")</f>
        <v>50</v>
      </c>
      <c r="U72" s="129">
        <f t="shared" si="10"/>
        <v>1000000</v>
      </c>
      <c r="V72" s="132">
        <v>6000</v>
      </c>
      <c r="W72" s="133">
        <v>0.25</v>
      </c>
      <c r="X72" s="132">
        <v>20</v>
      </c>
      <c r="Y72" s="126">
        <f t="shared" si="3"/>
        <v>360000</v>
      </c>
      <c r="Z72" s="134">
        <f t="shared" si="4"/>
        <v>1440000</v>
      </c>
      <c r="AA72" s="135">
        <f t="shared" si="11"/>
        <v>2.7777777777777777</v>
      </c>
      <c r="AB72" s="135">
        <f t="shared" si="12"/>
        <v>0.69444444444444442</v>
      </c>
      <c r="AC72" s="304">
        <v>7</v>
      </c>
    </row>
    <row r="73" spans="1:29" s="136" customFormat="1" ht="82.9" customHeight="1">
      <c r="A73" s="127" t="s">
        <v>604</v>
      </c>
      <c r="B73" s="127" t="s">
        <v>247</v>
      </c>
      <c r="C73" s="128" t="s">
        <v>328</v>
      </c>
      <c r="D73" s="137" t="s">
        <v>609</v>
      </c>
      <c r="E73" s="130">
        <v>80700050048</v>
      </c>
      <c r="F73" s="128" t="s">
        <v>606</v>
      </c>
      <c r="G73" s="129" t="s">
        <v>490</v>
      </c>
      <c r="H73" s="129"/>
      <c r="I73" s="129"/>
      <c r="J73" s="129" t="s">
        <v>434</v>
      </c>
      <c r="K73" s="148"/>
      <c r="L73" s="138"/>
      <c r="M73" s="139"/>
      <c r="N73" s="138"/>
      <c r="O73" s="129" t="s">
        <v>607</v>
      </c>
      <c r="P73" s="129" t="s">
        <v>610</v>
      </c>
      <c r="Q73" s="129" t="s">
        <v>611</v>
      </c>
      <c r="R73" s="128">
        <v>1</v>
      </c>
      <c r="S73" s="128" t="str">
        <f>IFERROR(VLOOKUP(Q73,'Veicamo darbu apraksts'!$B$2:$D$39,2,FALSE),"")</f>
        <v>gab.</v>
      </c>
      <c r="T73" s="128">
        <f>IFERROR(VLOOKUP(Q73,'Veicamo darbu apraksts'!$B$2:$D$39,3,FALSE),"")</f>
        <v>30325</v>
      </c>
      <c r="U73" s="129">
        <f t="shared" si="10"/>
        <v>30325</v>
      </c>
      <c r="V73" s="132">
        <v>6000</v>
      </c>
      <c r="W73" s="133">
        <v>1</v>
      </c>
      <c r="X73" s="132">
        <v>8</v>
      </c>
      <c r="Y73" s="126">
        <f t="shared" si="3"/>
        <v>576000</v>
      </c>
      <c r="Z73" s="134">
        <f t="shared" si="4"/>
        <v>576000</v>
      </c>
      <c r="AA73" s="135">
        <f t="shared" si="11"/>
        <v>5.2647569444444445E-2</v>
      </c>
      <c r="AB73" s="135">
        <f t="shared" si="12"/>
        <v>5.2647569444444445E-2</v>
      </c>
      <c r="AC73" s="304">
        <v>7</v>
      </c>
    </row>
    <row r="74" spans="1:29" s="136" customFormat="1" ht="82.9" customHeight="1">
      <c r="A74" s="127" t="s">
        <v>248</v>
      </c>
      <c r="B74" s="127" t="s">
        <v>248</v>
      </c>
      <c r="C74" s="128" t="s">
        <v>328</v>
      </c>
      <c r="D74" s="137" t="s">
        <v>605</v>
      </c>
      <c r="E74" s="130">
        <v>80700071397</v>
      </c>
      <c r="F74" s="128" t="s">
        <v>385</v>
      </c>
      <c r="G74" s="129" t="s">
        <v>490</v>
      </c>
      <c r="H74" s="129" t="s">
        <v>612</v>
      </c>
      <c r="I74" s="129"/>
      <c r="J74" s="129" t="s">
        <v>434</v>
      </c>
      <c r="K74" s="148"/>
      <c r="L74" s="138"/>
      <c r="M74" s="139"/>
      <c r="N74" s="138"/>
      <c r="O74" s="129" t="s">
        <v>613</v>
      </c>
      <c r="P74" s="129" t="s">
        <v>614</v>
      </c>
      <c r="Q74" s="129" t="s">
        <v>615</v>
      </c>
      <c r="R74" s="128">
        <v>1</v>
      </c>
      <c r="S74" s="128" t="str">
        <f>IFERROR(VLOOKUP(Q74,'Veicamo darbu apraksts'!$B$2:$D$39,2,FALSE),"")</f>
        <v>gab.</v>
      </c>
      <c r="T74" s="128">
        <f>IFERROR(VLOOKUP(Q74,'Veicamo darbu apraksts'!$B$2:$D$39,3,FALSE),"")</f>
        <v>59875</v>
      </c>
      <c r="U74" s="129">
        <f t="shared" si="10"/>
        <v>59875</v>
      </c>
      <c r="V74" s="132">
        <v>2500</v>
      </c>
      <c r="W74" s="133">
        <v>1</v>
      </c>
      <c r="X74" s="132">
        <v>15</v>
      </c>
      <c r="Y74" s="126">
        <f t="shared" ref="Y74:Y131" si="13">V74*W74*X74*12</f>
        <v>450000</v>
      </c>
      <c r="Z74" s="134">
        <f t="shared" ref="Z74:Z131" si="14">V74*X74*12</f>
        <v>450000</v>
      </c>
      <c r="AA74" s="135">
        <f t="shared" si="11"/>
        <v>0.13305555555555557</v>
      </c>
      <c r="AB74" s="135">
        <f t="shared" si="12"/>
        <v>0.13305555555555557</v>
      </c>
      <c r="AC74" s="303">
        <v>7</v>
      </c>
    </row>
    <row r="75" spans="1:29" s="136" customFormat="1" ht="52.9">
      <c r="A75" s="127" t="s">
        <v>249</v>
      </c>
      <c r="B75" s="127" t="s">
        <v>249</v>
      </c>
      <c r="C75" s="128" t="s">
        <v>328</v>
      </c>
      <c r="D75" s="137" t="s">
        <v>616</v>
      </c>
      <c r="E75" s="130">
        <v>80700070546</v>
      </c>
      <c r="F75" s="147" t="s">
        <v>385</v>
      </c>
      <c r="G75" s="129" t="s">
        <v>490</v>
      </c>
      <c r="H75" s="129"/>
      <c r="I75" s="129"/>
      <c r="J75" s="137" t="s">
        <v>546</v>
      </c>
      <c r="K75" s="126"/>
      <c r="L75" s="126"/>
      <c r="M75" s="126"/>
      <c r="N75" s="126"/>
      <c r="O75" s="137" t="s">
        <v>547</v>
      </c>
      <c r="P75" s="137" t="s">
        <v>401</v>
      </c>
      <c r="Q75" s="129" t="s">
        <v>401</v>
      </c>
      <c r="R75" s="128">
        <v>2</v>
      </c>
      <c r="S75" s="128" t="str">
        <f>IFERROR(VLOOKUP(Q75,'Veicamo darbu apraksts'!$B$2:$D$39,2,FALSE),"")</f>
        <v>gab.</v>
      </c>
      <c r="T75" s="128">
        <f>IFERROR(VLOOKUP(Q75,'Veicamo darbu apraksts'!$B$2:$D$39,3,FALSE),"")</f>
        <v>7160</v>
      </c>
      <c r="U75" s="129">
        <f t="shared" si="10"/>
        <v>14320</v>
      </c>
      <c r="V75" s="132">
        <v>1500</v>
      </c>
      <c r="W75" s="133">
        <v>0.15</v>
      </c>
      <c r="X75" s="132">
        <v>20</v>
      </c>
      <c r="Y75" s="126">
        <f t="shared" si="13"/>
        <v>54000</v>
      </c>
      <c r="Z75" s="134">
        <f t="shared" si="14"/>
        <v>360000</v>
      </c>
      <c r="AA75" s="135">
        <f t="shared" ref="AA75:AA106" si="15">U75/Y75</f>
        <v>0.26518518518518519</v>
      </c>
      <c r="AB75" s="135">
        <f t="shared" ref="AB75:AB106" si="16">U75/Z75</f>
        <v>3.977777777777778E-2</v>
      </c>
      <c r="AC75" s="303">
        <v>1</v>
      </c>
    </row>
    <row r="76" spans="1:29" s="136" customFormat="1" ht="39.6">
      <c r="A76" s="127" t="s">
        <v>250</v>
      </c>
      <c r="B76" s="127" t="s">
        <v>250</v>
      </c>
      <c r="C76" s="128" t="s">
        <v>328</v>
      </c>
      <c r="D76" s="137" t="s">
        <v>617</v>
      </c>
      <c r="E76" s="130">
        <v>80700050098</v>
      </c>
      <c r="F76" s="147" t="s">
        <v>518</v>
      </c>
      <c r="G76" s="129" t="s">
        <v>490</v>
      </c>
      <c r="H76" s="129"/>
      <c r="I76" s="129"/>
      <c r="J76" s="137" t="s">
        <v>546</v>
      </c>
      <c r="K76" s="126"/>
      <c r="L76" s="126"/>
      <c r="M76" s="126"/>
      <c r="N76" s="126"/>
      <c r="O76" s="137" t="s">
        <v>547</v>
      </c>
      <c r="P76" s="137" t="s">
        <v>401</v>
      </c>
      <c r="Q76" s="129" t="s">
        <v>401</v>
      </c>
      <c r="R76" s="128">
        <v>2</v>
      </c>
      <c r="S76" s="128" t="str">
        <f>IFERROR(VLOOKUP(Q76,'Veicamo darbu apraksts'!$B$2:$D$39,2,FALSE),"")</f>
        <v>gab.</v>
      </c>
      <c r="T76" s="128">
        <f>IFERROR(VLOOKUP(Q76,'Veicamo darbu apraksts'!$B$2:$D$39,3,FALSE),"")</f>
        <v>7160</v>
      </c>
      <c r="U76" s="129">
        <f t="shared" si="10"/>
        <v>14320</v>
      </c>
      <c r="V76" s="132">
        <v>1000</v>
      </c>
      <c r="W76" s="133">
        <v>0.15</v>
      </c>
      <c r="X76" s="132">
        <v>20</v>
      </c>
      <c r="Y76" s="126">
        <f t="shared" si="13"/>
        <v>36000</v>
      </c>
      <c r="Z76" s="134">
        <f t="shared" si="14"/>
        <v>240000</v>
      </c>
      <c r="AA76" s="135">
        <f t="shared" si="15"/>
        <v>0.39777777777777779</v>
      </c>
      <c r="AB76" s="135">
        <f t="shared" si="16"/>
        <v>5.9666666666666666E-2</v>
      </c>
      <c r="AC76" s="303">
        <v>1</v>
      </c>
    </row>
    <row r="77" spans="1:29" s="136" customFormat="1" ht="52.9">
      <c r="A77" s="127" t="s">
        <v>251</v>
      </c>
      <c r="B77" s="127" t="s">
        <v>251</v>
      </c>
      <c r="C77" s="128" t="s">
        <v>328</v>
      </c>
      <c r="D77" s="137" t="s">
        <v>618</v>
      </c>
      <c r="E77" s="130">
        <v>80700020569</v>
      </c>
      <c r="F77" s="147" t="s">
        <v>385</v>
      </c>
      <c r="G77" s="129" t="s">
        <v>490</v>
      </c>
      <c r="H77" s="129"/>
      <c r="I77" s="129"/>
      <c r="J77" s="137" t="s">
        <v>546</v>
      </c>
      <c r="K77" s="126"/>
      <c r="L77" s="126"/>
      <c r="M77" s="126"/>
      <c r="N77" s="126"/>
      <c r="O77" s="137" t="s">
        <v>547</v>
      </c>
      <c r="P77" s="137" t="s">
        <v>401</v>
      </c>
      <c r="Q77" s="129" t="s">
        <v>401</v>
      </c>
      <c r="R77" s="128">
        <v>2</v>
      </c>
      <c r="S77" s="128" t="str">
        <f>IFERROR(VLOOKUP(Q77,'Veicamo darbu apraksts'!$B$2:$D$39,2,FALSE),"")</f>
        <v>gab.</v>
      </c>
      <c r="T77" s="128">
        <f>IFERROR(VLOOKUP(Q77,'Veicamo darbu apraksts'!$B$2:$D$39,3,FALSE),"")</f>
        <v>7160</v>
      </c>
      <c r="U77" s="129">
        <f t="shared" si="10"/>
        <v>14320</v>
      </c>
      <c r="V77" s="132">
        <v>3000</v>
      </c>
      <c r="W77" s="133">
        <v>0.15</v>
      </c>
      <c r="X77" s="132">
        <v>20</v>
      </c>
      <c r="Y77" s="126">
        <f t="shared" si="13"/>
        <v>108000</v>
      </c>
      <c r="Z77" s="134">
        <f t="shared" si="14"/>
        <v>720000</v>
      </c>
      <c r="AA77" s="135">
        <f t="shared" si="15"/>
        <v>0.1325925925925926</v>
      </c>
      <c r="AB77" s="135">
        <f t="shared" si="16"/>
        <v>1.988888888888889E-2</v>
      </c>
      <c r="AC77" s="303">
        <v>1</v>
      </c>
    </row>
    <row r="78" spans="1:29" s="136" customFormat="1" ht="51.75" customHeight="1">
      <c r="A78" s="127" t="s">
        <v>252</v>
      </c>
      <c r="B78" s="127" t="s">
        <v>252</v>
      </c>
      <c r="C78" s="128" t="s">
        <v>328</v>
      </c>
      <c r="D78" s="137" t="s">
        <v>619</v>
      </c>
      <c r="E78" s="130">
        <v>80700070546</v>
      </c>
      <c r="F78" s="147" t="s">
        <v>385</v>
      </c>
      <c r="G78" s="129" t="s">
        <v>490</v>
      </c>
      <c r="H78" s="129" t="s">
        <v>620</v>
      </c>
      <c r="I78" s="129"/>
      <c r="J78" s="137" t="s">
        <v>553</v>
      </c>
      <c r="K78" s="126"/>
      <c r="L78" s="126"/>
      <c r="M78" s="126"/>
      <c r="N78" s="126"/>
      <c r="O78" s="137" t="s">
        <v>621</v>
      </c>
      <c r="P78" s="129" t="s">
        <v>540</v>
      </c>
      <c r="Q78" s="129" t="s">
        <v>467</v>
      </c>
      <c r="R78" s="128">
        <v>3</v>
      </c>
      <c r="S78" s="128" t="str">
        <f>IFERROR(VLOOKUP(Q78,'Veicamo darbu apraksts'!$B$2:$D$39,2,FALSE),"")</f>
        <v>gab.</v>
      </c>
      <c r="T78" s="128">
        <f>IFERROR(VLOOKUP(Q78,'Veicamo darbu apraksts'!$B$2:$D$39,3,FALSE),"")</f>
        <v>3150</v>
      </c>
      <c r="U78" s="129">
        <f t="shared" si="10"/>
        <v>9450</v>
      </c>
      <c r="V78" s="132">
        <v>3000</v>
      </c>
      <c r="W78" s="133">
        <v>0.15</v>
      </c>
      <c r="X78" s="132">
        <v>10</v>
      </c>
      <c r="Y78" s="126">
        <f t="shared" si="13"/>
        <v>54000</v>
      </c>
      <c r="Z78" s="134">
        <f t="shared" si="14"/>
        <v>360000</v>
      </c>
      <c r="AA78" s="135">
        <f t="shared" si="15"/>
        <v>0.17499999999999999</v>
      </c>
      <c r="AB78" s="135">
        <f t="shared" si="16"/>
        <v>2.6249999999999999E-2</v>
      </c>
      <c r="AC78" s="303">
        <v>1</v>
      </c>
    </row>
    <row r="79" spans="1:29" s="136" customFormat="1" ht="52.9">
      <c r="A79" s="127" t="s">
        <v>253</v>
      </c>
      <c r="B79" s="127" t="s">
        <v>253</v>
      </c>
      <c r="C79" s="128" t="s">
        <v>325</v>
      </c>
      <c r="D79" s="137" t="s">
        <v>622</v>
      </c>
      <c r="E79" s="130">
        <v>80700070289</v>
      </c>
      <c r="F79" s="147" t="s">
        <v>385</v>
      </c>
      <c r="G79" s="129" t="s">
        <v>386</v>
      </c>
      <c r="H79" s="129" t="s">
        <v>623</v>
      </c>
      <c r="I79" s="365" t="s">
        <v>444</v>
      </c>
      <c r="J79" s="129" t="s">
        <v>588</v>
      </c>
      <c r="K79" s="131" t="s">
        <v>389</v>
      </c>
      <c r="L79" s="138" t="s">
        <v>395</v>
      </c>
      <c r="M79" s="131" t="s">
        <v>389</v>
      </c>
      <c r="N79" s="131" t="s">
        <v>389</v>
      </c>
      <c r="O79" s="146" t="s">
        <v>478</v>
      </c>
      <c r="P79" s="146" t="s">
        <v>478</v>
      </c>
      <c r="Q79" s="129" t="s">
        <v>448</v>
      </c>
      <c r="R79" s="128">
        <v>44500</v>
      </c>
      <c r="S79" s="128" t="s">
        <v>475</v>
      </c>
      <c r="T79" s="128">
        <f>IFERROR(VLOOKUP(Q79,'Veicamo darbu apraksts'!$B$2:$D$39,3,FALSE),"")</f>
        <v>0</v>
      </c>
      <c r="U79" s="366"/>
      <c r="V79" s="143">
        <v>5000</v>
      </c>
      <c r="W79" s="144">
        <v>1</v>
      </c>
      <c r="X79" s="143">
        <v>5</v>
      </c>
      <c r="Y79" s="126">
        <f t="shared" si="13"/>
        <v>300000</v>
      </c>
      <c r="Z79" s="134">
        <f t="shared" si="14"/>
        <v>300000</v>
      </c>
      <c r="AA79" s="135">
        <f t="shared" si="15"/>
        <v>0</v>
      </c>
      <c r="AB79" s="135">
        <f t="shared" si="16"/>
        <v>0</v>
      </c>
      <c r="AC79" s="303">
        <v>7</v>
      </c>
    </row>
    <row r="80" spans="1:29" s="136" customFormat="1" ht="39.6">
      <c r="A80" s="127" t="s">
        <v>255</v>
      </c>
      <c r="B80" s="127" t="s">
        <v>255</v>
      </c>
      <c r="C80" s="128" t="s">
        <v>325</v>
      </c>
      <c r="D80" s="137" t="s">
        <v>624</v>
      </c>
      <c r="E80" s="130">
        <v>80700070290</v>
      </c>
      <c r="F80" s="147" t="s">
        <v>385</v>
      </c>
      <c r="G80" s="129" t="s">
        <v>386</v>
      </c>
      <c r="H80" s="129" t="s">
        <v>625</v>
      </c>
      <c r="I80" s="129"/>
      <c r="J80" s="129" t="s">
        <v>472</v>
      </c>
      <c r="K80" s="131" t="s">
        <v>389</v>
      </c>
      <c r="L80" s="131" t="s">
        <v>389</v>
      </c>
      <c r="M80" s="139" t="s">
        <v>404</v>
      </c>
      <c r="N80" s="131" t="s">
        <v>389</v>
      </c>
      <c r="O80" s="129" t="s">
        <v>626</v>
      </c>
      <c r="P80" s="129" t="s">
        <v>450</v>
      </c>
      <c r="Q80" s="129" t="s">
        <v>450</v>
      </c>
      <c r="R80" s="128">
        <v>2</v>
      </c>
      <c r="S80" s="128" t="str">
        <f>IFERROR(VLOOKUP(Q80,'Veicamo darbu apraksts'!$B$2:$D$39,2,FALSE),"")</f>
        <v>gab.</v>
      </c>
      <c r="T80" s="128">
        <f>IFERROR(VLOOKUP(Q80,'Veicamo darbu apraksts'!$B$2:$D$39,3,FALSE),"")</f>
        <v>90</v>
      </c>
      <c r="U80" s="129">
        <f t="shared" si="10"/>
        <v>180</v>
      </c>
      <c r="V80" s="132">
        <v>5000</v>
      </c>
      <c r="W80" s="133">
        <v>1</v>
      </c>
      <c r="X80" s="132">
        <v>10</v>
      </c>
      <c r="Y80" s="126">
        <f t="shared" si="13"/>
        <v>600000</v>
      </c>
      <c r="Z80" s="134">
        <f t="shared" si="14"/>
        <v>600000</v>
      </c>
      <c r="AA80" s="135">
        <f t="shared" si="15"/>
        <v>2.9999999999999997E-4</v>
      </c>
      <c r="AB80" s="135">
        <f t="shared" si="16"/>
        <v>2.9999999999999997E-4</v>
      </c>
      <c r="AC80" s="303">
        <v>1</v>
      </c>
    </row>
    <row r="81" spans="1:29" s="136" customFormat="1" ht="55.5" customHeight="1">
      <c r="A81" s="127" t="s">
        <v>256</v>
      </c>
      <c r="B81" s="127" t="s">
        <v>256</v>
      </c>
      <c r="C81" s="128" t="s">
        <v>325</v>
      </c>
      <c r="D81" s="137" t="s">
        <v>627</v>
      </c>
      <c r="E81" s="130">
        <v>80700070543</v>
      </c>
      <c r="F81" s="147" t="s">
        <v>385</v>
      </c>
      <c r="G81" s="129" t="s">
        <v>490</v>
      </c>
      <c r="H81" s="129" t="s">
        <v>628</v>
      </c>
      <c r="I81" s="129"/>
      <c r="J81" s="137" t="s">
        <v>553</v>
      </c>
      <c r="K81" s="126"/>
      <c r="L81" s="126"/>
      <c r="M81" s="126"/>
      <c r="N81" s="126"/>
      <c r="O81" s="129" t="s">
        <v>629</v>
      </c>
      <c r="P81" s="129" t="s">
        <v>540</v>
      </c>
      <c r="Q81" s="129" t="s">
        <v>467</v>
      </c>
      <c r="R81" s="128">
        <v>8</v>
      </c>
      <c r="S81" s="128" t="str">
        <f>IFERROR(VLOOKUP(Q81,'Veicamo darbu apraksts'!$B$2:$D$39,2,FALSE),"")</f>
        <v>gab.</v>
      </c>
      <c r="T81" s="128">
        <f>IFERROR(VLOOKUP(Q81,'Veicamo darbu apraksts'!$B$2:$D$39,3,FALSE),"")</f>
        <v>3150</v>
      </c>
      <c r="U81" s="129">
        <f t="shared" si="10"/>
        <v>25200</v>
      </c>
      <c r="V81" s="132">
        <v>3000</v>
      </c>
      <c r="W81" s="133">
        <v>0.15</v>
      </c>
      <c r="X81" s="132">
        <v>10</v>
      </c>
      <c r="Y81" s="126">
        <f t="shared" si="13"/>
        <v>54000</v>
      </c>
      <c r="Z81" s="134">
        <f t="shared" si="14"/>
        <v>360000</v>
      </c>
      <c r="AA81" s="135">
        <f t="shared" si="15"/>
        <v>0.46666666666666667</v>
      </c>
      <c r="AB81" s="135">
        <f t="shared" si="16"/>
        <v>7.0000000000000007E-2</v>
      </c>
      <c r="AC81" s="303">
        <v>1</v>
      </c>
    </row>
    <row r="82" spans="1:29" s="136" customFormat="1" ht="52.9">
      <c r="A82" s="127" t="s">
        <v>257</v>
      </c>
      <c r="B82" s="127" t="s">
        <v>257</v>
      </c>
      <c r="C82" s="128" t="s">
        <v>325</v>
      </c>
      <c r="D82" s="137" t="s">
        <v>630</v>
      </c>
      <c r="E82" s="130">
        <v>80700070291</v>
      </c>
      <c r="F82" s="147" t="s">
        <v>385</v>
      </c>
      <c r="G82" s="129" t="s">
        <v>490</v>
      </c>
      <c r="H82" s="129"/>
      <c r="I82" s="129"/>
      <c r="J82" s="129" t="s">
        <v>601</v>
      </c>
      <c r="K82" s="148"/>
      <c r="L82" s="138"/>
      <c r="M82" s="139"/>
      <c r="N82" s="138"/>
      <c r="O82" s="129" t="s">
        <v>498</v>
      </c>
      <c r="P82" s="129" t="s">
        <v>631</v>
      </c>
      <c r="Q82" s="129" t="s">
        <v>568</v>
      </c>
      <c r="R82" s="128">
        <v>10000</v>
      </c>
      <c r="S82" s="128" t="str">
        <f>IFERROR(VLOOKUP(Q82,'Veicamo darbu apraksts'!$B$2:$D$39,2,FALSE),"")</f>
        <v>m2</v>
      </c>
      <c r="T82" s="128">
        <f>IFERROR(VLOOKUP(Q82,'Veicamo darbu apraksts'!$B$2:$D$39,3,FALSE),"")</f>
        <v>50</v>
      </c>
      <c r="U82" s="129">
        <f t="shared" si="10"/>
        <v>500000</v>
      </c>
      <c r="V82" s="132">
        <v>1000</v>
      </c>
      <c r="W82" s="133">
        <v>0.5</v>
      </c>
      <c r="X82" s="132">
        <v>5</v>
      </c>
      <c r="Y82" s="126">
        <f t="shared" si="13"/>
        <v>30000</v>
      </c>
      <c r="Z82" s="134">
        <f t="shared" si="14"/>
        <v>60000</v>
      </c>
      <c r="AA82" s="135">
        <f t="shared" si="15"/>
        <v>16.666666666666668</v>
      </c>
      <c r="AB82" s="135">
        <f t="shared" si="16"/>
        <v>8.3333333333333339</v>
      </c>
      <c r="AC82" s="303">
        <v>7</v>
      </c>
    </row>
    <row r="83" spans="1:29" s="136" customFormat="1" ht="52.9">
      <c r="A83" s="127" t="s">
        <v>258</v>
      </c>
      <c r="B83" s="127" t="s">
        <v>258</v>
      </c>
      <c r="C83" s="128" t="s">
        <v>325</v>
      </c>
      <c r="D83" s="137" t="s">
        <v>632</v>
      </c>
      <c r="E83" s="130">
        <v>80700040031</v>
      </c>
      <c r="F83" s="147" t="s">
        <v>518</v>
      </c>
      <c r="G83" s="129" t="s">
        <v>490</v>
      </c>
      <c r="H83" s="129"/>
      <c r="I83" s="129"/>
      <c r="J83" s="137" t="s">
        <v>546</v>
      </c>
      <c r="K83" s="126"/>
      <c r="L83" s="126"/>
      <c r="M83" s="126"/>
      <c r="N83" s="126"/>
      <c r="O83" s="137" t="s">
        <v>547</v>
      </c>
      <c r="P83" s="137" t="s">
        <v>401</v>
      </c>
      <c r="Q83" s="129" t="s">
        <v>401</v>
      </c>
      <c r="R83" s="128">
        <v>2</v>
      </c>
      <c r="S83" s="128" t="str">
        <f>IFERROR(VLOOKUP(Q83,'Veicamo darbu apraksts'!$B$2:$D$39,2,FALSE),"")</f>
        <v>gab.</v>
      </c>
      <c r="T83" s="128">
        <f>IFERROR(VLOOKUP(Q83,'Veicamo darbu apraksts'!$B$2:$D$39,3,FALSE),"")</f>
        <v>7160</v>
      </c>
      <c r="U83" s="129">
        <f t="shared" si="10"/>
        <v>14320</v>
      </c>
      <c r="V83" s="132">
        <v>3000</v>
      </c>
      <c r="W83" s="133">
        <v>0.15</v>
      </c>
      <c r="X83" s="132">
        <v>20</v>
      </c>
      <c r="Y83" s="126">
        <f t="shared" si="13"/>
        <v>108000</v>
      </c>
      <c r="Z83" s="134">
        <f t="shared" si="14"/>
        <v>720000</v>
      </c>
      <c r="AA83" s="135">
        <f t="shared" si="15"/>
        <v>0.1325925925925926</v>
      </c>
      <c r="AB83" s="135">
        <f t="shared" si="16"/>
        <v>1.988888888888889E-2</v>
      </c>
      <c r="AC83" s="303">
        <v>1</v>
      </c>
    </row>
    <row r="84" spans="1:29" s="136" customFormat="1" ht="116.25" customHeight="1">
      <c r="A84" s="127" t="s">
        <v>633</v>
      </c>
      <c r="B84" s="127" t="s">
        <v>259</v>
      </c>
      <c r="C84" s="128" t="s">
        <v>325</v>
      </c>
      <c r="D84" s="137" t="s">
        <v>634</v>
      </c>
      <c r="E84" s="130">
        <v>80700040031</v>
      </c>
      <c r="F84" s="147" t="s">
        <v>518</v>
      </c>
      <c r="G84" s="129" t="s">
        <v>490</v>
      </c>
      <c r="H84" s="129" t="s">
        <v>635</v>
      </c>
      <c r="I84" s="129"/>
      <c r="J84" s="137" t="s">
        <v>513</v>
      </c>
      <c r="K84" s="126"/>
      <c r="L84" s="126"/>
      <c r="M84" s="126"/>
      <c r="N84" s="126"/>
      <c r="O84" s="137" t="s">
        <v>636</v>
      </c>
      <c r="P84" s="129" t="s">
        <v>503</v>
      </c>
      <c r="Q84" s="129" t="s">
        <v>398</v>
      </c>
      <c r="R84" s="128">
        <v>30000</v>
      </c>
      <c r="S84" s="128" t="str">
        <f>IFERROR(VLOOKUP(Q84,'Veicamo darbu apraksts'!$B$2:$D$39,2,FALSE),"")</f>
        <v>m2</v>
      </c>
      <c r="T84" s="128">
        <f>IFERROR(VLOOKUP(Q84,'Veicamo darbu apraksts'!$B$2:$D$39,3,FALSE),"")</f>
        <v>55</v>
      </c>
      <c r="U84" s="129">
        <f t="shared" si="10"/>
        <v>1650000</v>
      </c>
      <c r="V84" s="132">
        <v>6000</v>
      </c>
      <c r="W84" s="133">
        <v>0.75</v>
      </c>
      <c r="X84" s="132">
        <v>30</v>
      </c>
      <c r="Y84" s="126">
        <f t="shared" si="13"/>
        <v>1620000</v>
      </c>
      <c r="Z84" s="134">
        <f t="shared" si="14"/>
        <v>2160000</v>
      </c>
      <c r="AA84" s="135">
        <f t="shared" si="15"/>
        <v>1.0185185185185186</v>
      </c>
      <c r="AB84" s="135">
        <f t="shared" si="16"/>
        <v>0.76388888888888884</v>
      </c>
      <c r="AC84" s="303">
        <v>1</v>
      </c>
    </row>
    <row r="85" spans="1:29" s="136" customFormat="1" ht="57" customHeight="1">
      <c r="A85" s="127" t="s">
        <v>633</v>
      </c>
      <c r="B85" s="127" t="s">
        <v>260</v>
      </c>
      <c r="C85" s="128" t="s">
        <v>325</v>
      </c>
      <c r="D85" s="137" t="s">
        <v>634</v>
      </c>
      <c r="E85" s="130">
        <v>80700040031</v>
      </c>
      <c r="F85" s="147" t="s">
        <v>518</v>
      </c>
      <c r="G85" s="129" t="s">
        <v>490</v>
      </c>
      <c r="H85" s="129" t="s">
        <v>637</v>
      </c>
      <c r="I85" s="129"/>
      <c r="J85" s="137" t="s">
        <v>513</v>
      </c>
      <c r="K85" s="126"/>
      <c r="L85" s="126"/>
      <c r="M85" s="126"/>
      <c r="N85" s="126"/>
      <c r="O85" s="137" t="s">
        <v>636</v>
      </c>
      <c r="P85" s="137" t="s">
        <v>423</v>
      </c>
      <c r="Q85" s="129" t="s">
        <v>423</v>
      </c>
      <c r="R85" s="128">
        <v>8</v>
      </c>
      <c r="S85" s="128" t="str">
        <f>IFERROR(VLOOKUP(Q85,'Veicamo darbu apraksts'!$B$2:$D$39,2,FALSE),"")</f>
        <v>gab.</v>
      </c>
      <c r="T85" s="128">
        <f>IFERROR(VLOOKUP(Q85,'Veicamo darbu apraksts'!$B$2:$D$39,3,FALSE),"")</f>
        <v>2765</v>
      </c>
      <c r="U85" s="129">
        <f t="shared" si="10"/>
        <v>22120</v>
      </c>
      <c r="V85" s="132">
        <v>6000</v>
      </c>
      <c r="W85" s="133">
        <v>0.15</v>
      </c>
      <c r="X85" s="132">
        <v>10</v>
      </c>
      <c r="Y85" s="126">
        <f t="shared" si="13"/>
        <v>108000</v>
      </c>
      <c r="Z85" s="134">
        <f t="shared" si="14"/>
        <v>720000</v>
      </c>
      <c r="AA85" s="135">
        <f t="shared" si="15"/>
        <v>0.20481481481481481</v>
      </c>
      <c r="AB85" s="135">
        <f t="shared" si="16"/>
        <v>3.0722222222222224E-2</v>
      </c>
      <c r="AC85" s="303">
        <v>1</v>
      </c>
    </row>
    <row r="86" spans="1:29" s="136" customFormat="1" ht="114" customHeight="1">
      <c r="A86" s="127" t="s">
        <v>638</v>
      </c>
      <c r="B86" s="127" t="s">
        <v>49</v>
      </c>
      <c r="C86" s="128" t="s">
        <v>639</v>
      </c>
      <c r="D86" s="221" t="s">
        <v>640</v>
      </c>
      <c r="E86" s="130" t="s">
        <v>641</v>
      </c>
      <c r="F86" s="147" t="s">
        <v>385</v>
      </c>
      <c r="G86" s="129" t="s">
        <v>386</v>
      </c>
      <c r="H86" s="129" t="s">
        <v>642</v>
      </c>
      <c r="I86" s="365" t="s">
        <v>409</v>
      </c>
      <c r="J86" s="129" t="s">
        <v>388</v>
      </c>
      <c r="K86" s="131" t="s">
        <v>389</v>
      </c>
      <c r="L86" s="138" t="s">
        <v>395</v>
      </c>
      <c r="M86" s="139" t="s">
        <v>404</v>
      </c>
      <c r="N86" s="131" t="s">
        <v>389</v>
      </c>
      <c r="O86" s="129" t="s">
        <v>643</v>
      </c>
      <c r="P86" s="129" t="s">
        <v>463</v>
      </c>
      <c r="Q86" s="129" t="s">
        <v>463</v>
      </c>
      <c r="R86" s="128">
        <v>1000</v>
      </c>
      <c r="S86" s="128" t="str">
        <f>IFERROR(VLOOKUP(Q86,'Veicamo darbu apraksts'!$B$2:$D$39,2,FALSE),"")</f>
        <v>m2</v>
      </c>
      <c r="T86" s="128">
        <f>IFERROR(VLOOKUP(Q86,'Veicamo darbu apraksts'!$B$2:$D$39,3,FALSE),"")</f>
        <v>50</v>
      </c>
      <c r="U86" s="365"/>
      <c r="V86" s="132">
        <v>1000</v>
      </c>
      <c r="W86" s="133">
        <v>0.25</v>
      </c>
      <c r="X86" s="132">
        <v>8</v>
      </c>
      <c r="Y86" s="126">
        <f t="shared" si="13"/>
        <v>24000</v>
      </c>
      <c r="Z86" s="134">
        <f t="shared" si="14"/>
        <v>96000</v>
      </c>
      <c r="AA86" s="135">
        <f t="shared" si="15"/>
        <v>0</v>
      </c>
      <c r="AB86" s="135">
        <f t="shared" si="16"/>
        <v>0</v>
      </c>
      <c r="AC86" s="303">
        <v>1</v>
      </c>
    </row>
    <row r="87" spans="1:29" s="136" customFormat="1" ht="66">
      <c r="A87" s="127" t="s">
        <v>64</v>
      </c>
      <c r="B87" s="127" t="s">
        <v>64</v>
      </c>
      <c r="C87" s="128" t="s">
        <v>639</v>
      </c>
      <c r="D87" s="137" t="s">
        <v>644</v>
      </c>
      <c r="E87" s="130" t="s">
        <v>645</v>
      </c>
      <c r="F87" s="128" t="s">
        <v>385</v>
      </c>
      <c r="G87" s="129" t="s">
        <v>386</v>
      </c>
      <c r="H87" s="129" t="s">
        <v>646</v>
      </c>
      <c r="I87" s="364" t="s">
        <v>409</v>
      </c>
      <c r="J87" s="129" t="s">
        <v>434</v>
      </c>
      <c r="K87" s="138" t="s">
        <v>395</v>
      </c>
      <c r="L87" s="139" t="s">
        <v>404</v>
      </c>
      <c r="M87" s="139" t="s">
        <v>404</v>
      </c>
      <c r="N87" s="131" t="s">
        <v>389</v>
      </c>
      <c r="O87" s="129" t="s">
        <v>647</v>
      </c>
      <c r="P87" s="129" t="s">
        <v>413</v>
      </c>
      <c r="Q87" s="129" t="s">
        <v>648</v>
      </c>
      <c r="R87" s="128">
        <v>10</v>
      </c>
      <c r="S87" s="128" t="str">
        <f>IFERROR(VLOOKUP(Q87,'Veicamo darbu apraksts'!$B$2:$D$39,2,FALSE),"")</f>
        <v>gab.</v>
      </c>
      <c r="T87" s="128">
        <f>IFERROR(VLOOKUP(Q87,'Veicamo darbu apraksts'!$B$2:$D$39,3,FALSE),"")</f>
        <v>150</v>
      </c>
      <c r="U87" s="365"/>
      <c r="V87" s="149">
        <v>1500</v>
      </c>
      <c r="W87" s="150">
        <v>1</v>
      </c>
      <c r="X87" s="149">
        <v>15</v>
      </c>
      <c r="Y87" s="126">
        <f>V87*W87*X87*12</f>
        <v>270000</v>
      </c>
      <c r="Z87" s="134">
        <f t="shared" si="14"/>
        <v>270000</v>
      </c>
      <c r="AA87" s="135">
        <f t="shared" si="15"/>
        <v>0</v>
      </c>
      <c r="AB87" s="135">
        <f t="shared" si="16"/>
        <v>0</v>
      </c>
      <c r="AC87" s="303">
        <v>1</v>
      </c>
    </row>
    <row r="88" spans="1:29" s="136" customFormat="1" ht="66">
      <c r="A88" s="127" t="s">
        <v>649</v>
      </c>
      <c r="B88" s="127" t="s">
        <v>71</v>
      </c>
      <c r="C88" s="128" t="s">
        <v>323</v>
      </c>
      <c r="D88" s="137" t="s">
        <v>650</v>
      </c>
      <c r="E88" s="130">
        <v>80070021902</v>
      </c>
      <c r="F88" s="147" t="s">
        <v>385</v>
      </c>
      <c r="G88" s="129" t="s">
        <v>386</v>
      </c>
      <c r="H88" s="129" t="s">
        <v>651</v>
      </c>
      <c r="I88" s="129"/>
      <c r="J88" s="129" t="s">
        <v>434</v>
      </c>
      <c r="K88" s="138" t="s">
        <v>395</v>
      </c>
      <c r="L88" s="131" t="s">
        <v>389</v>
      </c>
      <c r="M88" s="138" t="s">
        <v>395</v>
      </c>
      <c r="N88" s="131" t="s">
        <v>389</v>
      </c>
      <c r="O88" s="129" t="s">
        <v>652</v>
      </c>
      <c r="P88" s="129" t="s">
        <v>413</v>
      </c>
      <c r="Q88" s="129" t="s">
        <v>648</v>
      </c>
      <c r="R88" s="128">
        <v>10</v>
      </c>
      <c r="S88" s="128" t="str">
        <f>IFERROR(VLOOKUP(Q88,'Veicamo darbu apraksts'!$B$2:$D$39,2,FALSE),"")</f>
        <v>gab.</v>
      </c>
      <c r="T88" s="128">
        <f>IFERROR(VLOOKUP(Q88,'Veicamo darbu apraksts'!$B$2:$D$39,3,FALSE),"")</f>
        <v>150</v>
      </c>
      <c r="U88" s="129">
        <f t="shared" si="10"/>
        <v>1500</v>
      </c>
      <c r="V88" s="132">
        <v>6000</v>
      </c>
      <c r="W88" s="133">
        <v>0.5</v>
      </c>
      <c r="X88" s="132">
        <v>15</v>
      </c>
      <c r="Y88" s="126">
        <f t="shared" si="13"/>
        <v>540000</v>
      </c>
      <c r="Z88" s="134">
        <f t="shared" si="14"/>
        <v>1080000</v>
      </c>
      <c r="AA88" s="135">
        <f t="shared" si="15"/>
        <v>2.7777777777777779E-3</v>
      </c>
      <c r="AB88" s="135">
        <f t="shared" si="16"/>
        <v>1.3888888888888889E-3</v>
      </c>
      <c r="AC88" s="303">
        <v>2</v>
      </c>
    </row>
    <row r="89" spans="1:29" s="136" customFormat="1" ht="66">
      <c r="A89" s="127" t="s">
        <v>649</v>
      </c>
      <c r="B89" s="127" t="s">
        <v>72</v>
      </c>
      <c r="C89" s="128" t="s">
        <v>323</v>
      </c>
      <c r="D89" s="137" t="s">
        <v>650</v>
      </c>
      <c r="E89" s="130">
        <v>80070021902</v>
      </c>
      <c r="F89" s="147" t="s">
        <v>385</v>
      </c>
      <c r="G89" s="129" t="s">
        <v>386</v>
      </c>
      <c r="H89" s="129"/>
      <c r="I89" s="129"/>
      <c r="J89" s="129" t="s">
        <v>434</v>
      </c>
      <c r="K89" s="138" t="s">
        <v>395</v>
      </c>
      <c r="L89" s="131" t="s">
        <v>389</v>
      </c>
      <c r="M89" s="138" t="s">
        <v>395</v>
      </c>
      <c r="N89" s="131" t="s">
        <v>389</v>
      </c>
      <c r="O89" s="129" t="s">
        <v>652</v>
      </c>
      <c r="P89" s="129" t="s">
        <v>439</v>
      </c>
      <c r="Q89" s="129" t="s">
        <v>439</v>
      </c>
      <c r="R89" s="128">
        <v>4000</v>
      </c>
      <c r="S89" s="128" t="str">
        <f>IFERROR(VLOOKUP(Q89,'Veicamo darbu apraksts'!$B$2:$D$39,2,FALSE),"")</f>
        <v>m2</v>
      </c>
      <c r="T89" s="128">
        <f>IFERROR(VLOOKUP(Q89,'Veicamo darbu apraksts'!$B$2:$D$39,3,FALSE),"")</f>
        <v>75</v>
      </c>
      <c r="U89" s="129">
        <f t="shared" si="10"/>
        <v>300000</v>
      </c>
      <c r="V89" s="132">
        <v>2500</v>
      </c>
      <c r="W89" s="133">
        <v>1</v>
      </c>
      <c r="X89" s="132">
        <v>15</v>
      </c>
      <c r="Y89" s="126">
        <f t="shared" si="13"/>
        <v>450000</v>
      </c>
      <c r="Z89" s="134">
        <f t="shared" si="14"/>
        <v>450000</v>
      </c>
      <c r="AA89" s="135">
        <f t="shared" si="15"/>
        <v>0.66666666666666663</v>
      </c>
      <c r="AB89" s="135">
        <f t="shared" si="16"/>
        <v>0.66666666666666663</v>
      </c>
      <c r="AC89" s="303">
        <v>2</v>
      </c>
    </row>
    <row r="90" spans="1:29" s="136" customFormat="1" ht="79.150000000000006">
      <c r="A90" s="127" t="s">
        <v>73</v>
      </c>
      <c r="B90" s="127" t="s">
        <v>73</v>
      </c>
      <c r="C90" s="128" t="s">
        <v>323</v>
      </c>
      <c r="D90" s="137" t="s">
        <v>653</v>
      </c>
      <c r="E90" s="130">
        <v>80070020005</v>
      </c>
      <c r="F90" s="147" t="s">
        <v>385</v>
      </c>
      <c r="G90" s="129" t="s">
        <v>386</v>
      </c>
      <c r="H90" s="129" t="s">
        <v>654</v>
      </c>
      <c r="I90" s="364" t="s">
        <v>409</v>
      </c>
      <c r="J90" s="129" t="s">
        <v>388</v>
      </c>
      <c r="K90" s="138" t="s">
        <v>395</v>
      </c>
      <c r="L90" s="131" t="s">
        <v>389</v>
      </c>
      <c r="M90" s="138" t="s">
        <v>395</v>
      </c>
      <c r="N90" s="131" t="s">
        <v>389</v>
      </c>
      <c r="O90" s="129" t="s">
        <v>655</v>
      </c>
      <c r="P90" s="129" t="s">
        <v>656</v>
      </c>
      <c r="Q90" s="129" t="s">
        <v>656</v>
      </c>
      <c r="R90" s="128">
        <v>4400</v>
      </c>
      <c r="S90" s="128" t="str">
        <f>IFERROR(VLOOKUP(Q90,'Veicamo darbu apraksts'!$B$2:$D$39,2,FALSE),"")</f>
        <v>m2</v>
      </c>
      <c r="T90" s="128">
        <f>IFERROR(VLOOKUP(Q90,'Veicamo darbu apraksts'!$B$2:$D$39,3,FALSE),"")</f>
        <v>75</v>
      </c>
      <c r="U90" s="365"/>
      <c r="V90" s="132">
        <v>4000</v>
      </c>
      <c r="W90" s="133">
        <v>0.5</v>
      </c>
      <c r="X90" s="132">
        <v>20</v>
      </c>
      <c r="Y90" s="126">
        <f t="shared" si="13"/>
        <v>480000</v>
      </c>
      <c r="Z90" s="134">
        <f t="shared" si="14"/>
        <v>960000</v>
      </c>
      <c r="AA90" s="135">
        <f t="shared" si="15"/>
        <v>0</v>
      </c>
      <c r="AB90" s="135">
        <f t="shared" si="16"/>
        <v>0</v>
      </c>
      <c r="AC90" s="303">
        <v>2</v>
      </c>
    </row>
    <row r="91" spans="1:29" s="136" customFormat="1" ht="79.150000000000006">
      <c r="A91" s="127" t="s">
        <v>74</v>
      </c>
      <c r="B91" s="127" t="s">
        <v>74</v>
      </c>
      <c r="C91" s="128" t="s">
        <v>323</v>
      </c>
      <c r="D91" s="137" t="s">
        <v>657</v>
      </c>
      <c r="E91" s="130">
        <v>80070021816</v>
      </c>
      <c r="F91" s="147" t="s">
        <v>385</v>
      </c>
      <c r="G91" s="129" t="s">
        <v>386</v>
      </c>
      <c r="H91" s="129" t="s">
        <v>646</v>
      </c>
      <c r="I91" s="364" t="s">
        <v>409</v>
      </c>
      <c r="J91" s="129" t="s">
        <v>434</v>
      </c>
      <c r="K91" s="138" t="s">
        <v>395</v>
      </c>
      <c r="L91" s="138" t="s">
        <v>395</v>
      </c>
      <c r="M91" s="139" t="s">
        <v>404</v>
      </c>
      <c r="N91" s="131" t="s">
        <v>389</v>
      </c>
      <c r="O91" s="129" t="s">
        <v>658</v>
      </c>
      <c r="P91" s="129" t="s">
        <v>659</v>
      </c>
      <c r="Q91" s="129" t="s">
        <v>391</v>
      </c>
      <c r="R91" s="128">
        <v>8500</v>
      </c>
      <c r="S91" s="128" t="str">
        <f>IFERROR(VLOOKUP(Q91,'Veicamo darbu apraksts'!$B$2:$D$39,2,FALSE),"")</f>
        <v>m2</v>
      </c>
      <c r="T91" s="128">
        <f>IFERROR(VLOOKUP(Q91,'Veicamo darbu apraksts'!$B$2:$D$39,3,FALSE),"")</f>
        <v>50</v>
      </c>
      <c r="U91" s="365"/>
      <c r="V91" s="132">
        <v>3000</v>
      </c>
      <c r="W91" s="133">
        <v>1</v>
      </c>
      <c r="X91" s="132">
        <v>10</v>
      </c>
      <c r="Y91" s="126">
        <f t="shared" si="13"/>
        <v>360000</v>
      </c>
      <c r="Z91" s="134">
        <f t="shared" si="14"/>
        <v>360000</v>
      </c>
      <c r="AA91" s="135">
        <f t="shared" si="15"/>
        <v>0</v>
      </c>
      <c r="AB91" s="135">
        <f t="shared" si="16"/>
        <v>0</v>
      </c>
      <c r="AC91" s="303">
        <v>2</v>
      </c>
    </row>
    <row r="92" spans="1:29" s="136" customFormat="1" ht="57" customHeight="1">
      <c r="A92" s="127" t="s">
        <v>75</v>
      </c>
      <c r="B92" s="127" t="s">
        <v>75</v>
      </c>
      <c r="C92" s="128" t="s">
        <v>323</v>
      </c>
      <c r="D92" s="137" t="s">
        <v>660</v>
      </c>
      <c r="E92" s="130">
        <v>80070022001</v>
      </c>
      <c r="F92" s="147" t="s">
        <v>442</v>
      </c>
      <c r="G92" s="129" t="s">
        <v>386</v>
      </c>
      <c r="H92" s="129" t="s">
        <v>661</v>
      </c>
      <c r="I92" s="129"/>
      <c r="J92" s="129" t="s">
        <v>388</v>
      </c>
      <c r="K92" s="131" t="s">
        <v>389</v>
      </c>
      <c r="L92" s="139" t="s">
        <v>404</v>
      </c>
      <c r="M92" s="139" t="s">
        <v>404</v>
      </c>
      <c r="N92" s="138" t="s">
        <v>395</v>
      </c>
      <c r="O92" s="129" t="s">
        <v>662</v>
      </c>
      <c r="P92" s="129" t="s">
        <v>401</v>
      </c>
      <c r="Q92" s="129" t="s">
        <v>401</v>
      </c>
      <c r="R92" s="128">
        <v>1</v>
      </c>
      <c r="S92" s="128" t="str">
        <f>IFERROR(VLOOKUP(Q92,'Veicamo darbu apraksts'!$B$2:$D$39,2,FALSE),"")</f>
        <v>gab.</v>
      </c>
      <c r="T92" s="128">
        <f>IFERROR(VLOOKUP(Q92,'Veicamo darbu apraksts'!$B$2:$D$39,3,FALSE),"")</f>
        <v>7160</v>
      </c>
      <c r="U92" s="129">
        <f t="shared" si="10"/>
        <v>7160</v>
      </c>
      <c r="V92" s="132">
        <v>6000</v>
      </c>
      <c r="W92" s="133">
        <v>0.25</v>
      </c>
      <c r="X92" s="132">
        <v>30</v>
      </c>
      <c r="Y92" s="126">
        <f t="shared" si="13"/>
        <v>540000</v>
      </c>
      <c r="Z92" s="134">
        <f t="shared" si="14"/>
        <v>2160000</v>
      </c>
      <c r="AA92" s="135">
        <f t="shared" si="15"/>
        <v>1.3259259259259259E-2</v>
      </c>
      <c r="AB92" s="135">
        <f t="shared" si="16"/>
        <v>3.3148148148148147E-3</v>
      </c>
      <c r="AC92" s="303">
        <v>1</v>
      </c>
    </row>
    <row r="93" spans="1:29" s="136" customFormat="1" ht="66">
      <c r="A93" s="127" t="s">
        <v>76</v>
      </c>
      <c r="B93" s="127" t="s">
        <v>76</v>
      </c>
      <c r="C93" s="128" t="s">
        <v>323</v>
      </c>
      <c r="D93" s="137" t="s">
        <v>663</v>
      </c>
      <c r="E93" s="130" t="s">
        <v>664</v>
      </c>
      <c r="F93" s="128" t="s">
        <v>665</v>
      </c>
      <c r="G93" s="129" t="s">
        <v>490</v>
      </c>
      <c r="H93" s="129"/>
      <c r="I93" s="129"/>
      <c r="J93" s="129" t="s">
        <v>434</v>
      </c>
      <c r="K93" s="138" t="s">
        <v>395</v>
      </c>
      <c r="L93" s="138" t="s">
        <v>395</v>
      </c>
      <c r="M93" s="138" t="s">
        <v>395</v>
      </c>
      <c r="N93" s="131" t="s">
        <v>389</v>
      </c>
      <c r="O93" s="129" t="s">
        <v>666</v>
      </c>
      <c r="P93" s="151" t="s">
        <v>599</v>
      </c>
      <c r="Q93" s="129" t="s">
        <v>599</v>
      </c>
      <c r="R93" s="128">
        <v>15600</v>
      </c>
      <c r="S93" s="128" t="str">
        <f>IFERROR(VLOOKUP(Q93,'Veicamo darbu apraksts'!$B$2:$D$39,2,FALSE),"")</f>
        <v>m2</v>
      </c>
      <c r="T93" s="128">
        <f>IFERROR(VLOOKUP(Q93,'Veicamo darbu apraksts'!$B$2:$D$39,3,FALSE),"")</f>
        <v>25</v>
      </c>
      <c r="U93" s="129">
        <f t="shared" si="10"/>
        <v>390000</v>
      </c>
      <c r="V93" s="132">
        <v>8000</v>
      </c>
      <c r="W93" s="133">
        <v>1.5</v>
      </c>
      <c r="X93" s="132">
        <v>5</v>
      </c>
      <c r="Y93" s="126">
        <f t="shared" si="13"/>
        <v>720000</v>
      </c>
      <c r="Z93" s="134">
        <f t="shared" si="14"/>
        <v>480000</v>
      </c>
      <c r="AA93" s="135">
        <f t="shared" si="15"/>
        <v>0.54166666666666663</v>
      </c>
      <c r="AB93" s="135">
        <f t="shared" si="16"/>
        <v>0.8125</v>
      </c>
      <c r="AC93" s="303">
        <v>2</v>
      </c>
    </row>
    <row r="94" spans="1:29" s="136" customFormat="1" ht="52.9">
      <c r="A94" s="127" t="s">
        <v>77</v>
      </c>
      <c r="B94" s="127" t="s">
        <v>77</v>
      </c>
      <c r="C94" s="128" t="s">
        <v>323</v>
      </c>
      <c r="D94" s="137" t="s">
        <v>667</v>
      </c>
      <c r="E94" s="130">
        <v>80070021626</v>
      </c>
      <c r="F94" s="147" t="s">
        <v>385</v>
      </c>
      <c r="G94" s="129" t="s">
        <v>490</v>
      </c>
      <c r="H94" s="129"/>
      <c r="I94" s="129"/>
      <c r="J94" s="137" t="s">
        <v>421</v>
      </c>
      <c r="K94" s="139" t="s">
        <v>404</v>
      </c>
      <c r="L94" s="139" t="s">
        <v>404</v>
      </c>
      <c r="M94" s="139" t="s">
        <v>404</v>
      </c>
      <c r="N94" s="138" t="s">
        <v>395</v>
      </c>
      <c r="O94" s="129" t="s">
        <v>668</v>
      </c>
      <c r="P94" s="151" t="s">
        <v>669</v>
      </c>
      <c r="Q94" s="129" t="s">
        <v>669</v>
      </c>
      <c r="R94" s="128">
        <v>6000</v>
      </c>
      <c r="S94" s="128" t="str">
        <f>IFERROR(VLOOKUP(Q94,'Veicamo darbu apraksts'!$B$2:$D$39,2,FALSE),"")</f>
        <v>m2</v>
      </c>
      <c r="T94" s="128">
        <f>IFERROR(VLOOKUP(Q94,'Veicamo darbu apraksts'!$B$2:$D$39,3,FALSE),"")</f>
        <v>7</v>
      </c>
      <c r="U94" s="129">
        <f t="shared" si="10"/>
        <v>42000</v>
      </c>
      <c r="V94" s="132">
        <v>500</v>
      </c>
      <c r="W94" s="133">
        <v>1.5</v>
      </c>
      <c r="X94" s="132">
        <v>1</v>
      </c>
      <c r="Y94" s="126">
        <f t="shared" si="13"/>
        <v>9000</v>
      </c>
      <c r="Z94" s="134">
        <f t="shared" si="14"/>
        <v>6000</v>
      </c>
      <c r="AA94" s="135">
        <f t="shared" si="15"/>
        <v>4.666666666666667</v>
      </c>
      <c r="AB94" s="135">
        <f t="shared" si="16"/>
        <v>7</v>
      </c>
      <c r="AC94" s="303">
        <v>3</v>
      </c>
    </row>
    <row r="95" spans="1:29" s="136" customFormat="1" ht="66">
      <c r="A95" s="127" t="s">
        <v>670</v>
      </c>
      <c r="B95" s="127" t="s">
        <v>78</v>
      </c>
      <c r="C95" s="128" t="s">
        <v>323</v>
      </c>
      <c r="D95" s="137" t="s">
        <v>671</v>
      </c>
      <c r="E95" s="217">
        <v>80070032676</v>
      </c>
      <c r="F95" s="147" t="s">
        <v>385</v>
      </c>
      <c r="G95" s="129" t="s">
        <v>490</v>
      </c>
      <c r="H95" s="129" t="s">
        <v>672</v>
      </c>
      <c r="I95" s="129"/>
      <c r="J95" s="137" t="s">
        <v>515</v>
      </c>
      <c r="K95" s="126"/>
      <c r="L95" s="126"/>
      <c r="M95" s="126"/>
      <c r="N95" s="126"/>
      <c r="O95" s="137" t="s">
        <v>673</v>
      </c>
      <c r="P95" s="137" t="s">
        <v>674</v>
      </c>
      <c r="Q95" s="129" t="s">
        <v>675</v>
      </c>
      <c r="R95" s="128">
        <v>36600</v>
      </c>
      <c r="S95" s="128" t="str">
        <f>IFERROR(VLOOKUP(Q95,'Veicamo darbu apraksts'!$B$2:$D$39,2,FALSE),"")</f>
        <v>m2</v>
      </c>
      <c r="T95" s="128">
        <f>IFERROR(VLOOKUP(Q95,'Veicamo darbu apraksts'!$B$2:$D$39,3,FALSE),"")</f>
        <v>55</v>
      </c>
      <c r="U95" s="129">
        <f t="shared" si="10"/>
        <v>2013000</v>
      </c>
      <c r="V95" s="132">
        <v>1500</v>
      </c>
      <c r="W95" s="133">
        <v>0.5</v>
      </c>
      <c r="X95" s="132">
        <v>30</v>
      </c>
      <c r="Y95" s="126">
        <f t="shared" si="13"/>
        <v>270000</v>
      </c>
      <c r="Z95" s="134">
        <f t="shared" si="14"/>
        <v>540000</v>
      </c>
      <c r="AA95" s="135">
        <f t="shared" si="15"/>
        <v>7.4555555555555557</v>
      </c>
      <c r="AB95" s="135">
        <f t="shared" si="16"/>
        <v>3.7277777777777779</v>
      </c>
      <c r="AC95" s="303">
        <v>1</v>
      </c>
    </row>
    <row r="96" spans="1:29" s="136" customFormat="1" ht="52.9">
      <c r="A96" s="127" t="s">
        <v>670</v>
      </c>
      <c r="B96" s="127" t="s">
        <v>79</v>
      </c>
      <c r="C96" s="128" t="s">
        <v>323</v>
      </c>
      <c r="D96" s="137" t="s">
        <v>671</v>
      </c>
      <c r="E96" s="217">
        <v>80070032676</v>
      </c>
      <c r="F96" s="147" t="s">
        <v>385</v>
      </c>
      <c r="G96" s="129" t="s">
        <v>490</v>
      </c>
      <c r="H96" s="129" t="s">
        <v>676</v>
      </c>
      <c r="I96" s="129"/>
      <c r="J96" s="137" t="s">
        <v>515</v>
      </c>
      <c r="K96" s="126"/>
      <c r="L96" s="126"/>
      <c r="M96" s="126"/>
      <c r="N96" s="126"/>
      <c r="O96" s="137" t="s">
        <v>673</v>
      </c>
      <c r="P96" s="129" t="s">
        <v>423</v>
      </c>
      <c r="Q96" s="129" t="s">
        <v>423</v>
      </c>
      <c r="R96" s="128">
        <v>6</v>
      </c>
      <c r="S96" s="128" t="str">
        <f>IFERROR(VLOOKUP(Q96,'Veicamo darbu apraksts'!$B$2:$D$39,2,FALSE),"")</f>
        <v>gab.</v>
      </c>
      <c r="T96" s="128">
        <f>IFERROR(VLOOKUP(Q96,'Veicamo darbu apraksts'!$B$2:$D$39,3,FALSE),"")</f>
        <v>2765</v>
      </c>
      <c r="U96" s="129">
        <f t="shared" ref="U96:U121" si="17">IFERROR(R96*T96,0)</f>
        <v>16590</v>
      </c>
      <c r="V96" s="132">
        <v>1500</v>
      </c>
      <c r="W96" s="133">
        <v>0.15</v>
      </c>
      <c r="X96" s="132">
        <v>20</v>
      </c>
      <c r="Y96" s="126">
        <f t="shared" si="13"/>
        <v>54000</v>
      </c>
      <c r="Z96" s="134">
        <f t="shared" si="14"/>
        <v>360000</v>
      </c>
      <c r="AA96" s="135">
        <f t="shared" si="15"/>
        <v>0.30722222222222223</v>
      </c>
      <c r="AB96" s="135">
        <f t="shared" si="16"/>
        <v>4.608333333333333E-2</v>
      </c>
      <c r="AC96" s="303">
        <v>1</v>
      </c>
    </row>
    <row r="97" spans="1:29" s="136" customFormat="1" ht="66">
      <c r="A97" s="127" t="s">
        <v>677</v>
      </c>
      <c r="B97" s="127" t="s">
        <v>47</v>
      </c>
      <c r="C97" s="128" t="s">
        <v>323</v>
      </c>
      <c r="D97" s="137" t="s">
        <v>678</v>
      </c>
      <c r="E97" s="130">
        <v>80070033684</v>
      </c>
      <c r="F97" s="147" t="s">
        <v>385</v>
      </c>
      <c r="G97" s="129" t="s">
        <v>490</v>
      </c>
      <c r="H97" s="129" t="s">
        <v>679</v>
      </c>
      <c r="I97" s="364" t="s">
        <v>409</v>
      </c>
      <c r="J97" s="137" t="s">
        <v>515</v>
      </c>
      <c r="K97" s="126"/>
      <c r="L97" s="126"/>
      <c r="M97" s="126"/>
      <c r="N97" s="126"/>
      <c r="O97" s="137" t="s">
        <v>680</v>
      </c>
      <c r="P97" s="137" t="s">
        <v>681</v>
      </c>
      <c r="Q97" s="129" t="s">
        <v>675</v>
      </c>
      <c r="R97" s="128">
        <v>8400</v>
      </c>
      <c r="S97" s="128" t="str">
        <f>IFERROR(VLOOKUP(Q97,'Veicamo darbu apraksts'!$B$2:$D$39,2,FALSE),"")</f>
        <v>m2</v>
      </c>
      <c r="T97" s="128">
        <f>IFERROR(VLOOKUP(Q97,'Veicamo darbu apraksts'!$B$2:$D$39,3,FALSE),"")</f>
        <v>55</v>
      </c>
      <c r="U97" s="365"/>
      <c r="V97" s="132">
        <v>1500</v>
      </c>
      <c r="W97" s="133">
        <v>0.5</v>
      </c>
      <c r="X97" s="132">
        <v>30</v>
      </c>
      <c r="Y97" s="126">
        <f t="shared" si="13"/>
        <v>270000</v>
      </c>
      <c r="Z97" s="134">
        <f t="shared" si="14"/>
        <v>540000</v>
      </c>
      <c r="AA97" s="135">
        <f t="shared" si="15"/>
        <v>0</v>
      </c>
      <c r="AB97" s="135">
        <f t="shared" si="16"/>
        <v>0</v>
      </c>
      <c r="AC97" s="303">
        <v>7</v>
      </c>
    </row>
    <row r="98" spans="1:29" s="136" customFormat="1" ht="52.9">
      <c r="A98" s="127" t="s">
        <v>677</v>
      </c>
      <c r="B98" s="127" t="s">
        <v>48</v>
      </c>
      <c r="C98" s="128" t="s">
        <v>323</v>
      </c>
      <c r="D98" s="137" t="s">
        <v>678</v>
      </c>
      <c r="E98" s="130">
        <v>80070033684</v>
      </c>
      <c r="F98" s="147" t="s">
        <v>385</v>
      </c>
      <c r="G98" s="129" t="s">
        <v>490</v>
      </c>
      <c r="H98" s="129" t="s">
        <v>679</v>
      </c>
      <c r="I98" s="364" t="s">
        <v>409</v>
      </c>
      <c r="J98" s="137" t="s">
        <v>515</v>
      </c>
      <c r="K98" s="126"/>
      <c r="L98" s="126"/>
      <c r="M98" s="126"/>
      <c r="N98" s="126"/>
      <c r="O98" s="137" t="s">
        <v>680</v>
      </c>
      <c r="P98" s="129" t="s">
        <v>423</v>
      </c>
      <c r="Q98" s="129" t="s">
        <v>423</v>
      </c>
      <c r="R98" s="128">
        <v>2</v>
      </c>
      <c r="S98" s="128" t="str">
        <f>IFERROR(VLOOKUP(Q98,'Veicamo darbu apraksts'!$B$2:$D$39,2,FALSE),"")</f>
        <v>gab.</v>
      </c>
      <c r="T98" s="128">
        <f>IFERROR(VLOOKUP(Q98,'Veicamo darbu apraksts'!$B$2:$D$39,3,FALSE),"")</f>
        <v>2765</v>
      </c>
      <c r="U98" s="365"/>
      <c r="V98" s="132">
        <v>1500</v>
      </c>
      <c r="W98" s="133">
        <v>0.15</v>
      </c>
      <c r="X98" s="132">
        <v>20</v>
      </c>
      <c r="Y98" s="126">
        <f t="shared" si="13"/>
        <v>54000</v>
      </c>
      <c r="Z98" s="134">
        <f t="shared" si="14"/>
        <v>360000</v>
      </c>
      <c r="AA98" s="135">
        <f t="shared" si="15"/>
        <v>0</v>
      </c>
      <c r="AB98" s="135">
        <f t="shared" si="16"/>
        <v>0</v>
      </c>
      <c r="AC98" s="303">
        <v>7</v>
      </c>
    </row>
    <row r="99" spans="1:29" s="136" customFormat="1" ht="54.75" customHeight="1">
      <c r="A99" s="127" t="s">
        <v>682</v>
      </c>
      <c r="B99" s="127" t="s">
        <v>50</v>
      </c>
      <c r="C99" s="128" t="s">
        <v>323</v>
      </c>
      <c r="D99" s="137" t="s">
        <v>683</v>
      </c>
      <c r="E99" s="130">
        <v>80070010611</v>
      </c>
      <c r="F99" s="147" t="s">
        <v>385</v>
      </c>
      <c r="G99" s="129" t="s">
        <v>490</v>
      </c>
      <c r="H99" s="129"/>
      <c r="I99" s="129"/>
      <c r="J99" s="137" t="s">
        <v>515</v>
      </c>
      <c r="K99" s="126"/>
      <c r="L99" s="126"/>
      <c r="M99" s="126"/>
      <c r="N99" s="126"/>
      <c r="O99" s="137" t="s">
        <v>684</v>
      </c>
      <c r="P99" s="137" t="s">
        <v>681</v>
      </c>
      <c r="Q99" s="129" t="s">
        <v>675</v>
      </c>
      <c r="R99" s="128">
        <v>5500</v>
      </c>
      <c r="S99" s="128" t="str">
        <f>IFERROR(VLOOKUP(Q99,'Veicamo darbu apraksts'!$B$2:$D$39,2,FALSE),"")</f>
        <v>m2</v>
      </c>
      <c r="T99" s="128">
        <f>IFERROR(VLOOKUP(Q99,'Veicamo darbu apraksts'!$B$2:$D$39,3,FALSE),"")</f>
        <v>55</v>
      </c>
      <c r="U99" s="129">
        <f t="shared" si="17"/>
        <v>302500</v>
      </c>
      <c r="V99" s="132">
        <v>1000</v>
      </c>
      <c r="W99" s="133">
        <v>0.25</v>
      </c>
      <c r="X99" s="132">
        <v>10</v>
      </c>
      <c r="Y99" s="126">
        <f t="shared" si="13"/>
        <v>30000</v>
      </c>
      <c r="Z99" s="134">
        <f t="shared" si="14"/>
        <v>120000</v>
      </c>
      <c r="AA99" s="135">
        <f t="shared" si="15"/>
        <v>10.083333333333334</v>
      </c>
      <c r="AB99" s="135">
        <f t="shared" si="16"/>
        <v>2.5208333333333335</v>
      </c>
      <c r="AC99" s="303">
        <v>3</v>
      </c>
    </row>
    <row r="100" spans="1:29" s="136" customFormat="1" ht="52.9">
      <c r="A100" s="127" t="s">
        <v>682</v>
      </c>
      <c r="B100" s="127" t="s">
        <v>51</v>
      </c>
      <c r="C100" s="128" t="s">
        <v>323</v>
      </c>
      <c r="D100" s="137" t="s">
        <v>683</v>
      </c>
      <c r="E100" s="130">
        <v>80070010611</v>
      </c>
      <c r="F100" s="147" t="s">
        <v>385</v>
      </c>
      <c r="G100" s="129" t="s">
        <v>490</v>
      </c>
      <c r="H100" s="129"/>
      <c r="I100" s="129"/>
      <c r="J100" s="137" t="s">
        <v>515</v>
      </c>
      <c r="K100" s="126"/>
      <c r="L100" s="126"/>
      <c r="M100" s="126"/>
      <c r="N100" s="126"/>
      <c r="O100" s="137" t="s">
        <v>684</v>
      </c>
      <c r="P100" s="129" t="s">
        <v>423</v>
      </c>
      <c r="Q100" s="129" t="s">
        <v>423</v>
      </c>
      <c r="R100" s="128">
        <v>2</v>
      </c>
      <c r="S100" s="128" t="str">
        <f>IFERROR(VLOOKUP(Q100,'Veicamo darbu apraksts'!$B$2:$D$39,2,FALSE),"")</f>
        <v>gab.</v>
      </c>
      <c r="T100" s="128">
        <f>IFERROR(VLOOKUP(Q100,'Veicamo darbu apraksts'!$B$2:$D$39,3,FALSE),"")</f>
        <v>2765</v>
      </c>
      <c r="U100" s="129">
        <f t="shared" si="17"/>
        <v>5530</v>
      </c>
      <c r="V100" s="132">
        <v>1000</v>
      </c>
      <c r="W100" s="133">
        <v>0.15</v>
      </c>
      <c r="X100" s="132">
        <v>5</v>
      </c>
      <c r="Y100" s="126">
        <f t="shared" si="13"/>
        <v>9000</v>
      </c>
      <c r="Z100" s="134">
        <f t="shared" si="14"/>
        <v>60000</v>
      </c>
      <c r="AA100" s="135">
        <f t="shared" si="15"/>
        <v>0.61444444444444446</v>
      </c>
      <c r="AB100" s="135">
        <f t="shared" si="16"/>
        <v>9.2166666666666661E-2</v>
      </c>
      <c r="AC100" s="303">
        <v>3</v>
      </c>
    </row>
    <row r="101" spans="1:29" s="136" customFormat="1" ht="98.25" customHeight="1">
      <c r="A101" s="127" t="s">
        <v>685</v>
      </c>
      <c r="B101" s="127" t="s">
        <v>52</v>
      </c>
      <c r="C101" s="128" t="s">
        <v>323</v>
      </c>
      <c r="D101" s="137" t="s">
        <v>686</v>
      </c>
      <c r="E101" s="130" t="s">
        <v>562</v>
      </c>
      <c r="F101" s="147" t="s">
        <v>562</v>
      </c>
      <c r="G101" s="129" t="s">
        <v>490</v>
      </c>
      <c r="H101" s="129" t="s">
        <v>687</v>
      </c>
      <c r="I101" s="364" t="s">
        <v>409</v>
      </c>
      <c r="J101" s="137" t="s">
        <v>513</v>
      </c>
      <c r="K101" s="126"/>
      <c r="L101" s="126"/>
      <c r="M101" s="126"/>
      <c r="N101" s="126"/>
      <c r="O101" s="137" t="s">
        <v>688</v>
      </c>
      <c r="P101" s="137" t="s">
        <v>681</v>
      </c>
      <c r="Q101" s="129" t="s">
        <v>675</v>
      </c>
      <c r="R101" s="128">
        <v>3000</v>
      </c>
      <c r="S101" s="128" t="str">
        <f>IFERROR(VLOOKUP(Q101,'Veicamo darbu apraksts'!$B$2:$D$39,2,FALSE),"")</f>
        <v>m2</v>
      </c>
      <c r="T101" s="128">
        <f>IFERROR(VLOOKUP(Q101,'Veicamo darbu apraksts'!$B$2:$D$39,3,FALSE),"")</f>
        <v>55</v>
      </c>
      <c r="U101" s="365"/>
      <c r="V101" s="132">
        <v>1000</v>
      </c>
      <c r="W101" s="133">
        <v>0.25</v>
      </c>
      <c r="X101" s="132">
        <v>10</v>
      </c>
      <c r="Y101" s="126">
        <f t="shared" si="13"/>
        <v>30000</v>
      </c>
      <c r="Z101" s="134">
        <f t="shared" si="14"/>
        <v>120000</v>
      </c>
      <c r="AA101" s="135">
        <f t="shared" si="15"/>
        <v>0</v>
      </c>
      <c r="AB101" s="135">
        <f t="shared" si="16"/>
        <v>0</v>
      </c>
      <c r="AC101" s="303">
        <v>3</v>
      </c>
    </row>
    <row r="102" spans="1:29" s="136" customFormat="1" ht="52.9">
      <c r="A102" s="127" t="s">
        <v>685</v>
      </c>
      <c r="B102" s="127" t="s">
        <v>53</v>
      </c>
      <c r="C102" s="128" t="s">
        <v>323</v>
      </c>
      <c r="D102" s="137" t="s">
        <v>686</v>
      </c>
      <c r="E102" s="130" t="s">
        <v>562</v>
      </c>
      <c r="F102" s="147" t="s">
        <v>562</v>
      </c>
      <c r="G102" s="129" t="s">
        <v>490</v>
      </c>
      <c r="H102" s="156" t="s">
        <v>689</v>
      </c>
      <c r="I102" s="364" t="s">
        <v>453</v>
      </c>
      <c r="J102" s="137" t="s">
        <v>513</v>
      </c>
      <c r="K102" s="126"/>
      <c r="L102" s="126"/>
      <c r="M102" s="126"/>
      <c r="N102" s="126"/>
      <c r="O102" s="137" t="s">
        <v>688</v>
      </c>
      <c r="P102" s="129" t="s">
        <v>423</v>
      </c>
      <c r="Q102" s="129" t="s">
        <v>423</v>
      </c>
      <c r="R102" s="128">
        <v>2</v>
      </c>
      <c r="S102" s="128" t="str">
        <f>IFERROR(VLOOKUP(Q102,'Veicamo darbu apraksts'!$B$2:$D$39,2,FALSE),"")</f>
        <v>gab.</v>
      </c>
      <c r="T102" s="128">
        <f>IFERROR(VLOOKUP(Q102,'Veicamo darbu apraksts'!$B$2:$D$39,3,FALSE),"")</f>
        <v>2765</v>
      </c>
      <c r="U102" s="365"/>
      <c r="V102" s="132">
        <v>1000</v>
      </c>
      <c r="W102" s="133">
        <v>0.15</v>
      </c>
      <c r="X102" s="132">
        <v>5</v>
      </c>
      <c r="Y102" s="126">
        <f t="shared" si="13"/>
        <v>9000</v>
      </c>
      <c r="Z102" s="134">
        <f t="shared" si="14"/>
        <v>60000</v>
      </c>
      <c r="AA102" s="135">
        <f t="shared" si="15"/>
        <v>0</v>
      </c>
      <c r="AB102" s="135">
        <f t="shared" si="16"/>
        <v>0</v>
      </c>
      <c r="AC102" s="303">
        <v>3</v>
      </c>
    </row>
    <row r="103" spans="1:29" s="136" customFormat="1" ht="66">
      <c r="A103" s="127" t="s">
        <v>690</v>
      </c>
      <c r="B103" s="127" t="s">
        <v>54</v>
      </c>
      <c r="C103" s="128" t="s">
        <v>323</v>
      </c>
      <c r="D103" s="137" t="s">
        <v>691</v>
      </c>
      <c r="E103" s="130">
        <v>80070010430</v>
      </c>
      <c r="F103" s="147" t="s">
        <v>385</v>
      </c>
      <c r="G103" s="129" t="s">
        <v>490</v>
      </c>
      <c r="H103" s="156" t="s">
        <v>692</v>
      </c>
      <c r="I103" s="364" t="s">
        <v>453</v>
      </c>
      <c r="J103" s="137" t="s">
        <v>513</v>
      </c>
      <c r="K103" s="126"/>
      <c r="L103" s="126"/>
      <c r="M103" s="126"/>
      <c r="N103" s="126"/>
      <c r="O103" s="137" t="s">
        <v>693</v>
      </c>
      <c r="P103" s="137" t="s">
        <v>681</v>
      </c>
      <c r="Q103" s="129" t="s">
        <v>675</v>
      </c>
      <c r="R103" s="128">
        <v>27400</v>
      </c>
      <c r="S103" s="128" t="str">
        <f>IFERROR(VLOOKUP(Q103,'Veicamo darbu apraksts'!$B$2:$D$39,2,FALSE),"")</f>
        <v>m2</v>
      </c>
      <c r="T103" s="128">
        <f>IFERROR(VLOOKUP(Q103,'Veicamo darbu apraksts'!$B$2:$D$39,3,FALSE),"")</f>
        <v>55</v>
      </c>
      <c r="U103" s="365"/>
      <c r="V103" s="132">
        <v>1000</v>
      </c>
      <c r="W103" s="133">
        <v>0.25</v>
      </c>
      <c r="X103" s="132">
        <v>10</v>
      </c>
      <c r="Y103" s="126">
        <f t="shared" si="13"/>
        <v>30000</v>
      </c>
      <c r="Z103" s="134">
        <f t="shared" si="14"/>
        <v>120000</v>
      </c>
      <c r="AA103" s="135">
        <f t="shared" si="15"/>
        <v>0</v>
      </c>
      <c r="AB103" s="135">
        <f t="shared" si="16"/>
        <v>0</v>
      </c>
      <c r="AC103" s="303">
        <v>1</v>
      </c>
    </row>
    <row r="104" spans="1:29" s="136" customFormat="1" ht="52.9">
      <c r="A104" s="127" t="s">
        <v>690</v>
      </c>
      <c r="B104" s="127" t="s">
        <v>55</v>
      </c>
      <c r="C104" s="128" t="s">
        <v>323</v>
      </c>
      <c r="D104" s="137" t="s">
        <v>691</v>
      </c>
      <c r="E104" s="130">
        <v>80070010430</v>
      </c>
      <c r="F104" s="147" t="s">
        <v>385</v>
      </c>
      <c r="G104" s="129" t="s">
        <v>490</v>
      </c>
      <c r="H104" s="156" t="s">
        <v>692</v>
      </c>
      <c r="I104" s="364" t="s">
        <v>453</v>
      </c>
      <c r="J104" s="137" t="s">
        <v>513</v>
      </c>
      <c r="K104" s="126"/>
      <c r="L104" s="126"/>
      <c r="M104" s="126"/>
      <c r="N104" s="126"/>
      <c r="O104" s="137" t="s">
        <v>693</v>
      </c>
      <c r="P104" s="129" t="s">
        <v>423</v>
      </c>
      <c r="Q104" s="129" t="s">
        <v>423</v>
      </c>
      <c r="R104" s="128">
        <v>3</v>
      </c>
      <c r="S104" s="128" t="str">
        <f>IFERROR(VLOOKUP(Q104,'Veicamo darbu apraksts'!$B$2:$D$39,2,FALSE),"")</f>
        <v>gab.</v>
      </c>
      <c r="T104" s="128">
        <f>IFERROR(VLOOKUP(Q104,'Veicamo darbu apraksts'!$B$2:$D$39,3,FALSE),"")</f>
        <v>2765</v>
      </c>
      <c r="U104" s="365"/>
      <c r="V104" s="132">
        <v>1000</v>
      </c>
      <c r="W104" s="133">
        <v>0.15</v>
      </c>
      <c r="X104" s="132">
        <v>5</v>
      </c>
      <c r="Y104" s="126">
        <f t="shared" si="13"/>
        <v>9000</v>
      </c>
      <c r="Z104" s="134">
        <f t="shared" si="14"/>
        <v>60000</v>
      </c>
      <c r="AA104" s="135">
        <f t="shared" si="15"/>
        <v>0</v>
      </c>
      <c r="AB104" s="135">
        <f t="shared" si="16"/>
        <v>0</v>
      </c>
      <c r="AC104" s="303">
        <v>1</v>
      </c>
    </row>
    <row r="105" spans="1:29" s="136" customFormat="1" ht="39.6">
      <c r="A105" s="127" t="s">
        <v>56</v>
      </c>
      <c r="B105" s="127" t="s">
        <v>56</v>
      </c>
      <c r="C105" s="128" t="s">
        <v>323</v>
      </c>
      <c r="D105" s="137" t="s">
        <v>694</v>
      </c>
      <c r="E105" s="130">
        <v>80070010206</v>
      </c>
      <c r="F105" s="147" t="s">
        <v>518</v>
      </c>
      <c r="G105" s="129" t="s">
        <v>490</v>
      </c>
      <c r="H105" s="129"/>
      <c r="I105" s="129"/>
      <c r="J105" s="137" t="s">
        <v>546</v>
      </c>
      <c r="K105" s="126"/>
      <c r="L105" s="126"/>
      <c r="M105" s="126"/>
      <c r="N105" s="126"/>
      <c r="O105" s="137" t="s">
        <v>547</v>
      </c>
      <c r="P105" s="137" t="s">
        <v>401</v>
      </c>
      <c r="Q105" s="129" t="s">
        <v>401</v>
      </c>
      <c r="R105" s="128">
        <v>2</v>
      </c>
      <c r="S105" s="128" t="str">
        <f>IFERROR(VLOOKUP(Q105,'Veicamo darbu apraksts'!$B$2:$D$39,2,FALSE),"")</f>
        <v>gab.</v>
      </c>
      <c r="T105" s="128">
        <f>IFERROR(VLOOKUP(Q105,'Veicamo darbu apraksts'!$B$2:$D$39,3,FALSE),"")</f>
        <v>7160</v>
      </c>
      <c r="U105" s="129">
        <f t="shared" si="17"/>
        <v>14320</v>
      </c>
      <c r="V105" s="132">
        <v>500</v>
      </c>
      <c r="W105" s="133">
        <v>0.15</v>
      </c>
      <c r="X105" s="132">
        <v>20</v>
      </c>
      <c r="Y105" s="126">
        <f t="shared" si="13"/>
        <v>18000</v>
      </c>
      <c r="Z105" s="134">
        <f t="shared" si="14"/>
        <v>120000</v>
      </c>
      <c r="AA105" s="135">
        <f t="shared" si="15"/>
        <v>0.79555555555555557</v>
      </c>
      <c r="AB105" s="135">
        <f t="shared" si="16"/>
        <v>0.11933333333333333</v>
      </c>
      <c r="AC105" s="303">
        <v>1</v>
      </c>
    </row>
    <row r="106" spans="1:29" s="136" customFormat="1" ht="39.6">
      <c r="A106" s="127" t="s">
        <v>57</v>
      </c>
      <c r="B106" s="127" t="s">
        <v>57</v>
      </c>
      <c r="C106" s="128" t="s">
        <v>323</v>
      </c>
      <c r="D106" s="137" t="s">
        <v>695</v>
      </c>
      <c r="E106" s="130">
        <v>80070021435</v>
      </c>
      <c r="F106" s="147" t="s">
        <v>518</v>
      </c>
      <c r="G106" s="129" t="s">
        <v>490</v>
      </c>
      <c r="H106" s="129"/>
      <c r="I106" s="129"/>
      <c r="J106" s="137" t="s">
        <v>546</v>
      </c>
      <c r="K106" s="126"/>
      <c r="L106" s="126"/>
      <c r="M106" s="126"/>
      <c r="N106" s="126"/>
      <c r="O106" s="137" t="s">
        <v>547</v>
      </c>
      <c r="P106" s="137" t="s">
        <v>401</v>
      </c>
      <c r="Q106" s="129" t="s">
        <v>401</v>
      </c>
      <c r="R106" s="128">
        <v>2</v>
      </c>
      <c r="S106" s="128" t="str">
        <f>IFERROR(VLOOKUP(Q106,'Veicamo darbu apraksts'!$B$2:$D$39,2,FALSE),"")</f>
        <v>gab.</v>
      </c>
      <c r="T106" s="128">
        <f>IFERROR(VLOOKUP(Q106,'Veicamo darbu apraksts'!$B$2:$D$39,3,FALSE),"")</f>
        <v>7160</v>
      </c>
      <c r="U106" s="129">
        <f t="shared" si="17"/>
        <v>14320</v>
      </c>
      <c r="V106" s="132">
        <v>2500</v>
      </c>
      <c r="W106" s="133">
        <v>0.15</v>
      </c>
      <c r="X106" s="132">
        <v>20</v>
      </c>
      <c r="Y106" s="126">
        <f t="shared" si="13"/>
        <v>90000</v>
      </c>
      <c r="Z106" s="134">
        <f t="shared" si="14"/>
        <v>600000</v>
      </c>
      <c r="AA106" s="135">
        <f t="shared" si="15"/>
        <v>0.15911111111111112</v>
      </c>
      <c r="AB106" s="135">
        <f t="shared" si="16"/>
        <v>2.3866666666666668E-2</v>
      </c>
      <c r="AC106" s="303">
        <v>1</v>
      </c>
    </row>
    <row r="107" spans="1:29" s="136" customFormat="1" ht="39.6">
      <c r="A107" s="127" t="s">
        <v>58</v>
      </c>
      <c r="B107" s="127" t="s">
        <v>58</v>
      </c>
      <c r="C107" s="128" t="s">
        <v>323</v>
      </c>
      <c r="D107" s="137" t="s">
        <v>696</v>
      </c>
      <c r="E107" s="130">
        <v>80070021435</v>
      </c>
      <c r="F107" s="147" t="s">
        <v>518</v>
      </c>
      <c r="G107" s="129" t="s">
        <v>490</v>
      </c>
      <c r="H107" s="129"/>
      <c r="I107" s="129"/>
      <c r="J107" s="137" t="s">
        <v>546</v>
      </c>
      <c r="K107" s="126"/>
      <c r="L107" s="126"/>
      <c r="M107" s="126"/>
      <c r="N107" s="126"/>
      <c r="O107" s="137" t="s">
        <v>547</v>
      </c>
      <c r="P107" s="137" t="s">
        <v>401</v>
      </c>
      <c r="Q107" s="129" t="s">
        <v>401</v>
      </c>
      <c r="R107" s="128">
        <v>2</v>
      </c>
      <c r="S107" s="128" t="str">
        <f>IFERROR(VLOOKUP(Q107,'Veicamo darbu apraksts'!$B$2:$D$39,2,FALSE),"")</f>
        <v>gab.</v>
      </c>
      <c r="T107" s="128">
        <f>IFERROR(VLOOKUP(Q107,'Veicamo darbu apraksts'!$B$2:$D$39,3,FALSE),"")</f>
        <v>7160</v>
      </c>
      <c r="U107" s="129">
        <f t="shared" si="17"/>
        <v>14320</v>
      </c>
      <c r="V107" s="132">
        <v>2500</v>
      </c>
      <c r="W107" s="133">
        <v>0.15</v>
      </c>
      <c r="X107" s="132">
        <v>20</v>
      </c>
      <c r="Y107" s="126">
        <f t="shared" si="13"/>
        <v>90000</v>
      </c>
      <c r="Z107" s="134">
        <f t="shared" si="14"/>
        <v>600000</v>
      </c>
      <c r="AA107" s="135">
        <f t="shared" ref="AA107:AA131" si="18">U107/Y107</f>
        <v>0.15911111111111112</v>
      </c>
      <c r="AB107" s="135">
        <f t="shared" ref="AB107:AB174" si="19">U107/Z107</f>
        <v>2.3866666666666668E-2</v>
      </c>
      <c r="AC107" s="303">
        <v>1</v>
      </c>
    </row>
    <row r="108" spans="1:29" s="136" customFormat="1" ht="66">
      <c r="A108" s="127" t="s">
        <v>261</v>
      </c>
      <c r="B108" s="127" t="s">
        <v>261</v>
      </c>
      <c r="C108" s="128" t="s">
        <v>327</v>
      </c>
      <c r="D108" s="137" t="s">
        <v>697</v>
      </c>
      <c r="E108" s="130">
        <v>80700010045</v>
      </c>
      <c r="F108" s="147" t="s">
        <v>385</v>
      </c>
      <c r="G108" s="129" t="s">
        <v>386</v>
      </c>
      <c r="H108" s="129" t="s">
        <v>698</v>
      </c>
      <c r="I108" s="129"/>
      <c r="J108" s="129" t="s">
        <v>434</v>
      </c>
      <c r="K108" s="131" t="s">
        <v>389</v>
      </c>
      <c r="L108" s="138" t="s">
        <v>395</v>
      </c>
      <c r="M108" s="139" t="s">
        <v>404</v>
      </c>
      <c r="N108" s="131" t="s">
        <v>389</v>
      </c>
      <c r="O108" s="129" t="s">
        <v>699</v>
      </c>
      <c r="P108" s="129" t="s">
        <v>631</v>
      </c>
      <c r="Q108" s="129" t="s">
        <v>568</v>
      </c>
      <c r="R108" s="128">
        <v>28000</v>
      </c>
      <c r="S108" s="128" t="str">
        <f>IFERROR(VLOOKUP(Q108,'Veicamo darbu apraksts'!$B$2:$D$39,2,FALSE),"")</f>
        <v>m2</v>
      </c>
      <c r="T108" s="128">
        <f>IFERROR(VLOOKUP(Q108,'Veicamo darbu apraksts'!$B$2:$D$39,3,FALSE),"")</f>
        <v>50</v>
      </c>
      <c r="U108" s="129">
        <f t="shared" si="17"/>
        <v>1400000</v>
      </c>
      <c r="V108" s="132">
        <v>4000</v>
      </c>
      <c r="W108" s="133">
        <v>1</v>
      </c>
      <c r="X108" s="132">
        <v>15</v>
      </c>
      <c r="Y108" s="126">
        <f t="shared" si="13"/>
        <v>720000</v>
      </c>
      <c r="Z108" s="134">
        <f t="shared" si="14"/>
        <v>720000</v>
      </c>
      <c r="AA108" s="135">
        <f t="shared" si="18"/>
        <v>1.9444444444444444</v>
      </c>
      <c r="AB108" s="135">
        <f t="shared" si="19"/>
        <v>1.9444444444444444</v>
      </c>
      <c r="AC108" s="303">
        <v>3</v>
      </c>
    </row>
    <row r="109" spans="1:29" s="136" customFormat="1" ht="79.150000000000006">
      <c r="A109" s="127" t="s">
        <v>262</v>
      </c>
      <c r="B109" s="127" t="s">
        <v>262</v>
      </c>
      <c r="C109" s="128" t="s">
        <v>327</v>
      </c>
      <c r="D109" s="137" t="s">
        <v>700</v>
      </c>
      <c r="E109" s="130">
        <v>80700010120</v>
      </c>
      <c r="F109" s="147" t="s">
        <v>385</v>
      </c>
      <c r="G109" s="129" t="s">
        <v>490</v>
      </c>
      <c r="H109" s="129"/>
      <c r="I109" s="129"/>
      <c r="J109" s="129" t="s">
        <v>701</v>
      </c>
      <c r="K109" s="148" t="s">
        <v>404</v>
      </c>
      <c r="L109" s="138" t="s">
        <v>395</v>
      </c>
      <c r="M109" s="139" t="s">
        <v>404</v>
      </c>
      <c r="N109" s="138" t="s">
        <v>395</v>
      </c>
      <c r="O109" s="129" t="s">
        <v>702</v>
      </c>
      <c r="P109" s="129" t="s">
        <v>450</v>
      </c>
      <c r="Q109" s="129" t="s">
        <v>450</v>
      </c>
      <c r="R109" s="128">
        <v>2</v>
      </c>
      <c r="S109" s="128" t="str">
        <f>IFERROR(VLOOKUP(Q109,'Veicamo darbu apraksts'!$B$2:$D$39,2,FALSE),"")</f>
        <v>gab.</v>
      </c>
      <c r="T109" s="128">
        <f>IFERROR(VLOOKUP(Q109,'Veicamo darbu apraksts'!$B$2:$D$39,3,FALSE),"")</f>
        <v>90</v>
      </c>
      <c r="U109" s="129">
        <f t="shared" si="17"/>
        <v>180</v>
      </c>
      <c r="V109" s="132">
        <v>4000</v>
      </c>
      <c r="W109" s="133">
        <v>0.5</v>
      </c>
      <c r="X109" s="132">
        <v>10</v>
      </c>
      <c r="Y109" s="126">
        <f t="shared" si="13"/>
        <v>240000</v>
      </c>
      <c r="Z109" s="134">
        <f t="shared" si="14"/>
        <v>480000</v>
      </c>
      <c r="AA109" s="135">
        <f t="shared" si="18"/>
        <v>7.5000000000000002E-4</v>
      </c>
      <c r="AB109" s="135">
        <f t="shared" si="19"/>
        <v>3.7500000000000001E-4</v>
      </c>
      <c r="AC109" s="303">
        <v>1</v>
      </c>
    </row>
    <row r="110" spans="1:29" s="136" customFormat="1" ht="52.9">
      <c r="A110" s="127" t="s">
        <v>263</v>
      </c>
      <c r="B110" s="127" t="s">
        <v>263</v>
      </c>
      <c r="C110" s="128" t="s">
        <v>327</v>
      </c>
      <c r="D110" s="137" t="s">
        <v>703</v>
      </c>
      <c r="E110" s="130">
        <v>80700010083</v>
      </c>
      <c r="F110" s="147" t="s">
        <v>518</v>
      </c>
      <c r="G110" s="129" t="s">
        <v>490</v>
      </c>
      <c r="H110" s="129"/>
      <c r="I110" s="129"/>
      <c r="J110" s="137" t="s">
        <v>546</v>
      </c>
      <c r="K110" s="126"/>
      <c r="L110" s="126"/>
      <c r="M110" s="126"/>
      <c r="N110" s="126"/>
      <c r="O110" s="137" t="s">
        <v>547</v>
      </c>
      <c r="P110" s="137" t="s">
        <v>401</v>
      </c>
      <c r="Q110" s="129" t="s">
        <v>401</v>
      </c>
      <c r="R110" s="128">
        <v>2</v>
      </c>
      <c r="S110" s="128" t="str">
        <f>IFERROR(VLOOKUP(Q110,'Veicamo darbu apraksts'!$B$2:$D$39,2,FALSE),"")</f>
        <v>gab.</v>
      </c>
      <c r="T110" s="128">
        <f>IFERROR(VLOOKUP(Q110,'Veicamo darbu apraksts'!$B$2:$D$39,3,FALSE),"")</f>
        <v>7160</v>
      </c>
      <c r="U110" s="129">
        <f t="shared" si="17"/>
        <v>14320</v>
      </c>
      <c r="V110" s="132">
        <v>2000</v>
      </c>
      <c r="W110" s="133">
        <v>0.15</v>
      </c>
      <c r="X110" s="132">
        <v>20</v>
      </c>
      <c r="Y110" s="126">
        <f t="shared" si="13"/>
        <v>72000</v>
      </c>
      <c r="Z110" s="134">
        <f t="shared" si="14"/>
        <v>480000</v>
      </c>
      <c r="AA110" s="135">
        <f t="shared" si="18"/>
        <v>0.19888888888888889</v>
      </c>
      <c r="AB110" s="135">
        <f t="shared" si="19"/>
        <v>2.9833333333333333E-2</v>
      </c>
      <c r="AC110" s="303">
        <v>1</v>
      </c>
    </row>
    <row r="111" spans="1:29" s="136" customFormat="1" ht="49.5" customHeight="1">
      <c r="A111" s="127" t="s">
        <v>704</v>
      </c>
      <c r="B111" s="127" t="s">
        <v>264</v>
      </c>
      <c r="C111" s="128" t="s">
        <v>327</v>
      </c>
      <c r="D111" s="137" t="s">
        <v>705</v>
      </c>
      <c r="E111" s="130">
        <v>80700010084</v>
      </c>
      <c r="F111" s="147" t="s">
        <v>385</v>
      </c>
      <c r="G111" s="129" t="s">
        <v>490</v>
      </c>
      <c r="H111" s="129"/>
      <c r="I111" s="129"/>
      <c r="J111" s="137" t="s">
        <v>515</v>
      </c>
      <c r="K111" s="126"/>
      <c r="L111" s="126"/>
      <c r="M111" s="126"/>
      <c r="N111" s="126"/>
      <c r="O111" s="137" t="s">
        <v>706</v>
      </c>
      <c r="P111" s="137" t="s">
        <v>681</v>
      </c>
      <c r="Q111" s="129" t="s">
        <v>675</v>
      </c>
      <c r="R111" s="128">
        <v>6700</v>
      </c>
      <c r="S111" s="128" t="str">
        <f>IFERROR(VLOOKUP(Q111,'Veicamo darbu apraksts'!$B$2:$D$39,2,FALSE),"")</f>
        <v>m2</v>
      </c>
      <c r="T111" s="128">
        <f>IFERROR(VLOOKUP(Q111,'Veicamo darbu apraksts'!$B$2:$D$39,3,FALSE),"")</f>
        <v>55</v>
      </c>
      <c r="U111" s="129">
        <f t="shared" si="17"/>
        <v>368500</v>
      </c>
      <c r="V111" s="132">
        <v>1000</v>
      </c>
      <c r="W111" s="133">
        <v>0.25</v>
      </c>
      <c r="X111" s="132">
        <v>10</v>
      </c>
      <c r="Y111" s="126">
        <f t="shared" si="13"/>
        <v>30000</v>
      </c>
      <c r="Z111" s="134">
        <f t="shared" si="14"/>
        <v>120000</v>
      </c>
      <c r="AA111" s="135">
        <f t="shared" si="18"/>
        <v>12.283333333333333</v>
      </c>
      <c r="AB111" s="135">
        <f t="shared" si="19"/>
        <v>3.0708333333333333</v>
      </c>
      <c r="AC111" s="303">
        <v>7</v>
      </c>
    </row>
    <row r="112" spans="1:29" s="136" customFormat="1" ht="52.9">
      <c r="A112" s="127" t="s">
        <v>704</v>
      </c>
      <c r="B112" s="127" t="s">
        <v>265</v>
      </c>
      <c r="C112" s="128" t="s">
        <v>327</v>
      </c>
      <c r="D112" s="137" t="s">
        <v>705</v>
      </c>
      <c r="E112" s="130">
        <v>80700010084</v>
      </c>
      <c r="F112" s="147" t="s">
        <v>385</v>
      </c>
      <c r="G112" s="129" t="s">
        <v>490</v>
      </c>
      <c r="H112" s="129"/>
      <c r="I112" s="129"/>
      <c r="J112" s="137" t="s">
        <v>515</v>
      </c>
      <c r="K112" s="126"/>
      <c r="L112" s="126"/>
      <c r="M112" s="126"/>
      <c r="N112" s="126"/>
      <c r="O112" s="137" t="s">
        <v>706</v>
      </c>
      <c r="P112" s="137" t="s">
        <v>423</v>
      </c>
      <c r="Q112" s="129" t="s">
        <v>423</v>
      </c>
      <c r="R112" s="128">
        <v>3</v>
      </c>
      <c r="S112" s="128" t="str">
        <f>IFERROR(VLOOKUP(Q112,'Veicamo darbu apraksts'!$B$2:$D$39,2,FALSE),"")</f>
        <v>gab.</v>
      </c>
      <c r="T112" s="128">
        <f>IFERROR(VLOOKUP(Q112,'Veicamo darbu apraksts'!$B$2:$D$39,3,FALSE),"")</f>
        <v>2765</v>
      </c>
      <c r="U112" s="129">
        <f t="shared" si="17"/>
        <v>8295</v>
      </c>
      <c r="V112" s="132">
        <v>1000</v>
      </c>
      <c r="W112" s="133">
        <v>0.15</v>
      </c>
      <c r="X112" s="132">
        <v>5</v>
      </c>
      <c r="Y112" s="126">
        <f t="shared" si="13"/>
        <v>9000</v>
      </c>
      <c r="Z112" s="134">
        <f t="shared" si="14"/>
        <v>60000</v>
      </c>
      <c r="AA112" s="135">
        <f t="shared" si="18"/>
        <v>0.92166666666666663</v>
      </c>
      <c r="AB112" s="135">
        <f t="shared" si="19"/>
        <v>0.13825000000000001</v>
      </c>
      <c r="AC112" s="303">
        <v>7</v>
      </c>
    </row>
    <row r="113" spans="1:29" s="136" customFormat="1" ht="80.650000000000006" customHeight="1">
      <c r="A113" s="127" t="s">
        <v>707</v>
      </c>
      <c r="B113" s="127" t="s">
        <v>122</v>
      </c>
      <c r="C113" s="128" t="s">
        <v>329</v>
      </c>
      <c r="D113" s="137" t="s">
        <v>708</v>
      </c>
      <c r="E113" s="130">
        <v>80560010225</v>
      </c>
      <c r="F113" s="147" t="s">
        <v>425</v>
      </c>
      <c r="G113" s="129" t="s">
        <v>386</v>
      </c>
      <c r="H113" s="129" t="s">
        <v>709</v>
      </c>
      <c r="I113" s="365" t="s">
        <v>409</v>
      </c>
      <c r="J113" s="129" t="s">
        <v>710</v>
      </c>
      <c r="K113" s="139" t="s">
        <v>404</v>
      </c>
      <c r="L113" s="139" t="s">
        <v>404</v>
      </c>
      <c r="M113" s="131" t="s">
        <v>389</v>
      </c>
      <c r="N113" s="138" t="s">
        <v>395</v>
      </c>
      <c r="O113" s="137" t="s">
        <v>711</v>
      </c>
      <c r="P113" s="137" t="s">
        <v>397</v>
      </c>
      <c r="Q113" s="129" t="s">
        <v>398</v>
      </c>
      <c r="R113" s="128">
        <v>300</v>
      </c>
      <c r="S113" s="128" t="str">
        <f>IFERROR(VLOOKUP(Q113,'Veicamo darbu apraksts'!$B$2:$D$39,2,FALSE),"")</f>
        <v>m2</v>
      </c>
      <c r="T113" s="128">
        <f>IFERROR(VLOOKUP(Q113,'Veicamo darbu apraksts'!$B$2:$D$39,3,FALSE),"")</f>
        <v>55</v>
      </c>
      <c r="U113" s="365"/>
      <c r="V113" s="132">
        <v>2000</v>
      </c>
      <c r="W113" s="133">
        <v>1</v>
      </c>
      <c r="X113" s="132">
        <v>1</v>
      </c>
      <c r="Y113" s="126">
        <f t="shared" si="13"/>
        <v>24000</v>
      </c>
      <c r="Z113" s="134">
        <f t="shared" si="14"/>
        <v>24000</v>
      </c>
      <c r="AA113" s="135">
        <f t="shared" si="18"/>
        <v>0</v>
      </c>
      <c r="AB113" s="135">
        <f>U113/Z113</f>
        <v>0</v>
      </c>
      <c r="AC113" s="303">
        <v>7</v>
      </c>
    </row>
    <row r="114" spans="1:29" s="136" customFormat="1" ht="66">
      <c r="A114" s="127" t="s">
        <v>707</v>
      </c>
      <c r="B114" s="127" t="s">
        <v>124</v>
      </c>
      <c r="C114" s="128" t="s">
        <v>329</v>
      </c>
      <c r="D114" s="137" t="s">
        <v>708</v>
      </c>
      <c r="E114" s="130">
        <v>80560010225</v>
      </c>
      <c r="F114" s="147" t="s">
        <v>425</v>
      </c>
      <c r="G114" s="129" t="s">
        <v>386</v>
      </c>
      <c r="H114" s="129"/>
      <c r="I114" s="129"/>
      <c r="J114" s="129" t="s">
        <v>710</v>
      </c>
      <c r="K114" s="139" t="s">
        <v>404</v>
      </c>
      <c r="L114" s="139" t="s">
        <v>404</v>
      </c>
      <c r="M114" s="131" t="s">
        <v>389</v>
      </c>
      <c r="N114" s="138" t="s">
        <v>395</v>
      </c>
      <c r="O114" s="137" t="s">
        <v>711</v>
      </c>
      <c r="P114" s="137" t="s">
        <v>467</v>
      </c>
      <c r="Q114" s="129" t="s">
        <v>467</v>
      </c>
      <c r="R114" s="128">
        <v>2</v>
      </c>
      <c r="S114" s="128" t="str">
        <f>IFERROR(VLOOKUP(Q114,'Veicamo darbu apraksts'!$B$2:$D$39,2,FALSE),"")</f>
        <v>gab.</v>
      </c>
      <c r="T114" s="128">
        <f>IFERROR(VLOOKUP(Q114,'Veicamo darbu apraksts'!$B$2:$D$39,3,FALSE),"")</f>
        <v>3150</v>
      </c>
      <c r="U114" s="129">
        <f t="shared" si="17"/>
        <v>6300</v>
      </c>
      <c r="V114" s="132">
        <v>2000</v>
      </c>
      <c r="W114" s="133">
        <v>0.3</v>
      </c>
      <c r="X114" s="132">
        <v>1</v>
      </c>
      <c r="Y114" s="126">
        <f t="shared" si="13"/>
        <v>7200</v>
      </c>
      <c r="Z114" s="134">
        <f t="shared" si="14"/>
        <v>24000</v>
      </c>
      <c r="AA114" s="135">
        <f t="shared" si="18"/>
        <v>0.875</v>
      </c>
      <c r="AB114" s="135">
        <f t="shared" si="19"/>
        <v>0.26250000000000001</v>
      </c>
      <c r="AC114" s="303">
        <v>7</v>
      </c>
    </row>
    <row r="115" spans="1:29" s="136" customFormat="1" ht="89.65" customHeight="1">
      <c r="A115" s="127" t="s">
        <v>132</v>
      </c>
      <c r="B115" s="127" t="s">
        <v>132</v>
      </c>
      <c r="C115" s="128" t="s">
        <v>329</v>
      </c>
      <c r="D115" s="137" t="s">
        <v>712</v>
      </c>
      <c r="E115" s="130" t="s">
        <v>713</v>
      </c>
      <c r="F115" s="147" t="s">
        <v>385</v>
      </c>
      <c r="G115" s="129" t="s">
        <v>386</v>
      </c>
      <c r="H115" s="129" t="s">
        <v>714</v>
      </c>
      <c r="I115" s="129"/>
      <c r="J115" s="129" t="s">
        <v>469</v>
      </c>
      <c r="K115" s="138" t="s">
        <v>395</v>
      </c>
      <c r="L115" s="138" t="s">
        <v>395</v>
      </c>
      <c r="M115" s="131" t="s">
        <v>389</v>
      </c>
      <c r="N115" s="138" t="s">
        <v>395</v>
      </c>
      <c r="O115" s="137" t="s">
        <v>715</v>
      </c>
      <c r="P115" s="137" t="s">
        <v>599</v>
      </c>
      <c r="Q115" s="129" t="s">
        <v>599</v>
      </c>
      <c r="R115" s="128">
        <v>32000</v>
      </c>
      <c r="S115" s="128" t="str">
        <f>IFERROR(VLOOKUP(Q115,'Veicamo darbu apraksts'!$B$2:$D$39,2,FALSE),"")</f>
        <v>m2</v>
      </c>
      <c r="T115" s="128">
        <f>IFERROR(VLOOKUP(Q115,'Veicamo darbu apraksts'!$B$2:$D$39,3,FALSE),"")</f>
        <v>25</v>
      </c>
      <c r="U115" s="129">
        <f t="shared" si="17"/>
        <v>800000</v>
      </c>
      <c r="V115" s="132">
        <v>2500</v>
      </c>
      <c r="W115" s="133">
        <v>1.5</v>
      </c>
      <c r="X115" s="132">
        <v>2</v>
      </c>
      <c r="Y115" s="126">
        <f t="shared" si="13"/>
        <v>90000</v>
      </c>
      <c r="Z115" s="134">
        <f t="shared" si="14"/>
        <v>60000</v>
      </c>
      <c r="AA115" s="135">
        <f>U115/Y115</f>
        <v>8.8888888888888893</v>
      </c>
      <c r="AB115" s="135">
        <f t="shared" si="19"/>
        <v>13.333333333333334</v>
      </c>
      <c r="AC115" s="303">
        <v>7</v>
      </c>
    </row>
    <row r="116" spans="1:29" s="136" customFormat="1" ht="92.45">
      <c r="A116" s="254" t="s">
        <v>716</v>
      </c>
      <c r="B116" s="254" t="s">
        <v>145</v>
      </c>
      <c r="C116" s="128" t="s">
        <v>329</v>
      </c>
      <c r="D116" s="137" t="s">
        <v>717</v>
      </c>
      <c r="E116" s="130">
        <v>80560020307</v>
      </c>
      <c r="F116" s="147" t="s">
        <v>425</v>
      </c>
      <c r="G116" s="129" t="s">
        <v>386</v>
      </c>
      <c r="H116" s="129"/>
      <c r="I116" s="129"/>
      <c r="J116" s="129" t="s">
        <v>469</v>
      </c>
      <c r="K116" s="139" t="s">
        <v>404</v>
      </c>
      <c r="L116" s="138" t="s">
        <v>395</v>
      </c>
      <c r="M116" s="138" t="s">
        <v>395</v>
      </c>
      <c r="N116" s="138" t="s">
        <v>395</v>
      </c>
      <c r="O116" s="137" t="s">
        <v>718</v>
      </c>
      <c r="P116" s="137" t="s">
        <v>631</v>
      </c>
      <c r="Q116" s="129" t="s">
        <v>568</v>
      </c>
      <c r="R116" s="128">
        <v>4000</v>
      </c>
      <c r="S116" s="128" t="str">
        <f>IFERROR(VLOOKUP(Q116,'Veicamo darbu apraksts'!$B$2:$D$39,2,FALSE),"")</f>
        <v>m2</v>
      </c>
      <c r="T116" s="128">
        <f>IFERROR(VLOOKUP(Q116,'Veicamo darbu apraksts'!$B$2:$D$39,3,FALSE),"")</f>
        <v>50</v>
      </c>
      <c r="U116" s="129">
        <f t="shared" si="17"/>
        <v>200000</v>
      </c>
      <c r="V116" s="132">
        <v>2500</v>
      </c>
      <c r="W116" s="133">
        <v>1.5</v>
      </c>
      <c r="X116" s="132">
        <v>3</v>
      </c>
      <c r="Y116" s="126">
        <f t="shared" si="13"/>
        <v>135000</v>
      </c>
      <c r="Z116" s="134">
        <f t="shared" si="14"/>
        <v>90000</v>
      </c>
      <c r="AA116" s="135">
        <f t="shared" si="18"/>
        <v>1.4814814814814814</v>
      </c>
      <c r="AB116" s="135">
        <f t="shared" si="19"/>
        <v>2.2222222222222223</v>
      </c>
      <c r="AC116" s="303">
        <v>3</v>
      </c>
    </row>
    <row r="117" spans="1:29" s="154" customFormat="1" ht="79.150000000000006">
      <c r="A117" s="254" t="s">
        <v>716</v>
      </c>
      <c r="B117" s="254" t="s">
        <v>147</v>
      </c>
      <c r="C117" s="128"/>
      <c r="D117" s="137" t="s">
        <v>717</v>
      </c>
      <c r="E117" s="130">
        <v>80560020307</v>
      </c>
      <c r="F117" s="147" t="s">
        <v>425</v>
      </c>
      <c r="G117" s="129" t="s">
        <v>386</v>
      </c>
      <c r="H117" s="140"/>
      <c r="I117" s="140"/>
      <c r="J117" s="129" t="s">
        <v>469</v>
      </c>
      <c r="K117" s="139"/>
      <c r="L117" s="138"/>
      <c r="M117" s="138"/>
      <c r="N117" s="138"/>
      <c r="O117" s="137" t="s">
        <v>719</v>
      </c>
      <c r="P117" s="137" t="s">
        <v>720</v>
      </c>
      <c r="Q117" s="129" t="s">
        <v>506</v>
      </c>
      <c r="R117" s="128">
        <v>1</v>
      </c>
      <c r="S117" s="128" t="s">
        <v>493</v>
      </c>
      <c r="T117" s="128">
        <f>IFERROR(VLOOKUP(Q117,'Veicamo darbu apraksts'!$B$2:$D$39,3,FALSE),"")</f>
        <v>15000</v>
      </c>
      <c r="U117" s="129">
        <f t="shared" si="17"/>
        <v>15000</v>
      </c>
      <c r="V117" s="219">
        <v>1000</v>
      </c>
      <c r="W117" s="133">
        <v>1.5</v>
      </c>
      <c r="X117" s="132">
        <v>3</v>
      </c>
      <c r="Y117" s="126">
        <f t="shared" ref="Y117" si="20">V117*W117*X117*12</f>
        <v>54000</v>
      </c>
      <c r="Z117" s="134">
        <f t="shared" ref="Z117" si="21">V117*X117*12</f>
        <v>36000</v>
      </c>
      <c r="AA117" s="135">
        <f t="shared" ref="AA117" si="22">U117/Y117</f>
        <v>0.27777777777777779</v>
      </c>
      <c r="AB117" s="135">
        <f t="shared" ref="AB117" si="23">U117/Z117</f>
        <v>0.41666666666666669</v>
      </c>
      <c r="AC117" s="304">
        <v>2</v>
      </c>
    </row>
    <row r="118" spans="1:29" s="136" customFormat="1" ht="40.15" customHeight="1">
      <c r="A118" s="127" t="s">
        <v>153</v>
      </c>
      <c r="B118" s="127" t="s">
        <v>153</v>
      </c>
      <c r="C118" s="128" t="s">
        <v>329</v>
      </c>
      <c r="D118" s="137" t="s">
        <v>721</v>
      </c>
      <c r="E118" s="130">
        <v>80560020270</v>
      </c>
      <c r="F118" s="147" t="s">
        <v>385</v>
      </c>
      <c r="G118" s="129" t="s">
        <v>386</v>
      </c>
      <c r="H118" s="129" t="s">
        <v>722</v>
      </c>
      <c r="I118" s="364" t="s">
        <v>409</v>
      </c>
      <c r="J118" s="129" t="s">
        <v>388</v>
      </c>
      <c r="K118" s="131" t="s">
        <v>389</v>
      </c>
      <c r="L118" s="139" t="s">
        <v>404</v>
      </c>
      <c r="M118" s="139" t="s">
        <v>404</v>
      </c>
      <c r="N118" s="131" t="s">
        <v>389</v>
      </c>
      <c r="O118" s="137" t="s">
        <v>723</v>
      </c>
      <c r="P118" s="137" t="s">
        <v>401</v>
      </c>
      <c r="Q118" s="129" t="s">
        <v>401</v>
      </c>
      <c r="R118" s="128">
        <v>2</v>
      </c>
      <c r="S118" s="128" t="str">
        <f>IFERROR(VLOOKUP(Q118,'Veicamo darbu apraksts'!$B$2:$D$39,2,FALSE),"")</f>
        <v>gab.</v>
      </c>
      <c r="T118" s="128">
        <f>IFERROR(VLOOKUP(Q118,'Veicamo darbu apraksts'!$B$2:$D$39,3,FALSE),"")</f>
        <v>7160</v>
      </c>
      <c r="U118" s="365"/>
      <c r="V118" s="132">
        <v>500</v>
      </c>
      <c r="W118" s="133">
        <v>0.15</v>
      </c>
      <c r="X118" s="132">
        <v>10</v>
      </c>
      <c r="Y118" s="126">
        <f t="shared" si="13"/>
        <v>9000</v>
      </c>
      <c r="Z118" s="134">
        <f t="shared" si="14"/>
        <v>60000</v>
      </c>
      <c r="AA118" s="135">
        <f t="shared" si="18"/>
        <v>0</v>
      </c>
      <c r="AB118" s="135">
        <f t="shared" si="19"/>
        <v>0</v>
      </c>
      <c r="AC118" s="303">
        <v>7</v>
      </c>
    </row>
    <row r="119" spans="1:29" s="136" customFormat="1" ht="40.5" customHeight="1">
      <c r="A119" s="127" t="s">
        <v>154</v>
      </c>
      <c r="B119" s="127" t="s">
        <v>154</v>
      </c>
      <c r="C119" s="128" t="s">
        <v>329</v>
      </c>
      <c r="D119" s="137" t="s">
        <v>724</v>
      </c>
      <c r="E119" s="130" t="s">
        <v>725</v>
      </c>
      <c r="F119" s="147" t="s">
        <v>385</v>
      </c>
      <c r="G119" s="129" t="s">
        <v>386</v>
      </c>
      <c r="H119" s="129" t="s">
        <v>726</v>
      </c>
      <c r="I119" s="129"/>
      <c r="J119" s="129" t="s">
        <v>388</v>
      </c>
      <c r="K119" s="131" t="s">
        <v>389</v>
      </c>
      <c r="L119" s="131" t="s">
        <v>389</v>
      </c>
      <c r="M119" s="138" t="s">
        <v>395</v>
      </c>
      <c r="N119" s="138" t="s">
        <v>395</v>
      </c>
      <c r="O119" s="152" t="s">
        <v>478</v>
      </c>
      <c r="P119" s="152" t="s">
        <v>478</v>
      </c>
      <c r="Q119" s="129" t="s">
        <v>448</v>
      </c>
      <c r="R119" s="128">
        <v>3000</v>
      </c>
      <c r="S119" s="128" t="s">
        <v>475</v>
      </c>
      <c r="T119" s="128">
        <f>IFERROR(VLOOKUP(Q119,'Veicamo darbu apraksts'!$B$2:$D$39,3,FALSE),"")</f>
        <v>0</v>
      </c>
      <c r="U119" s="129">
        <f t="shared" si="17"/>
        <v>0</v>
      </c>
      <c r="V119" s="132">
        <v>1500</v>
      </c>
      <c r="W119" s="133">
        <v>0.25</v>
      </c>
      <c r="X119" s="132">
        <v>20</v>
      </c>
      <c r="Y119" s="126">
        <f t="shared" si="13"/>
        <v>90000</v>
      </c>
      <c r="Z119" s="134">
        <f t="shared" si="14"/>
        <v>360000</v>
      </c>
      <c r="AA119" s="135">
        <f t="shared" si="18"/>
        <v>0</v>
      </c>
      <c r="AB119" s="135">
        <f t="shared" si="19"/>
        <v>0</v>
      </c>
      <c r="AC119" s="303">
        <v>7</v>
      </c>
    </row>
    <row r="120" spans="1:29" s="136" customFormat="1" ht="54.75" customHeight="1">
      <c r="A120" s="127" t="s">
        <v>155</v>
      </c>
      <c r="B120" s="127" t="s">
        <v>155</v>
      </c>
      <c r="C120" s="128" t="s">
        <v>329</v>
      </c>
      <c r="D120" s="137" t="s">
        <v>727</v>
      </c>
      <c r="E120" s="130">
        <v>80560020269</v>
      </c>
      <c r="F120" s="147" t="s">
        <v>385</v>
      </c>
      <c r="G120" s="129" t="s">
        <v>386</v>
      </c>
      <c r="H120" s="129" t="s">
        <v>728</v>
      </c>
      <c r="I120" s="129"/>
      <c r="J120" s="129" t="s">
        <v>388</v>
      </c>
      <c r="K120" s="138" t="s">
        <v>395</v>
      </c>
      <c r="L120" s="131" t="s">
        <v>389</v>
      </c>
      <c r="M120" s="139" t="s">
        <v>404</v>
      </c>
      <c r="N120" s="131" t="s">
        <v>389</v>
      </c>
      <c r="O120" s="137" t="s">
        <v>729</v>
      </c>
      <c r="P120" s="137" t="s">
        <v>463</v>
      </c>
      <c r="Q120" s="129" t="s">
        <v>463</v>
      </c>
      <c r="R120" s="128">
        <v>4000</v>
      </c>
      <c r="S120" s="128" t="str">
        <f>IFERROR(VLOOKUP(Q120,'Veicamo darbu apraksts'!$B$2:$D$39,2,FALSE),"")</f>
        <v>m2</v>
      </c>
      <c r="T120" s="128">
        <f>IFERROR(VLOOKUP(Q120,'Veicamo darbu apraksts'!$B$2:$D$39,3,FALSE),"")</f>
        <v>50</v>
      </c>
      <c r="U120" s="129">
        <f t="shared" si="17"/>
        <v>200000</v>
      </c>
      <c r="V120" s="132">
        <v>500</v>
      </c>
      <c r="W120" s="133">
        <v>0.25</v>
      </c>
      <c r="X120" s="132">
        <v>20</v>
      </c>
      <c r="Y120" s="126">
        <f t="shared" si="13"/>
        <v>30000</v>
      </c>
      <c r="Z120" s="134">
        <f t="shared" si="14"/>
        <v>120000</v>
      </c>
      <c r="AA120" s="135">
        <f t="shared" si="18"/>
        <v>6.666666666666667</v>
      </c>
      <c r="AB120" s="135">
        <f t="shared" si="19"/>
        <v>1.6666666666666667</v>
      </c>
      <c r="AC120" s="303">
        <v>1</v>
      </c>
    </row>
    <row r="121" spans="1:29" s="136" customFormat="1" ht="66">
      <c r="A121" s="127" t="s">
        <v>156</v>
      </c>
      <c r="B121" s="127" t="s">
        <v>156</v>
      </c>
      <c r="C121" s="128" t="s">
        <v>329</v>
      </c>
      <c r="D121" s="137" t="s">
        <v>730</v>
      </c>
      <c r="E121" s="130" t="s">
        <v>731</v>
      </c>
      <c r="F121" s="147" t="s">
        <v>385</v>
      </c>
      <c r="G121" s="129" t="s">
        <v>490</v>
      </c>
      <c r="H121" s="129"/>
      <c r="I121" s="129"/>
      <c r="J121" s="137" t="s">
        <v>454</v>
      </c>
      <c r="K121" s="138" t="s">
        <v>395</v>
      </c>
      <c r="L121" s="139" t="s">
        <v>404</v>
      </c>
      <c r="M121" s="139" t="s">
        <v>404</v>
      </c>
      <c r="N121" s="139" t="s">
        <v>404</v>
      </c>
      <c r="O121" s="137" t="s">
        <v>732</v>
      </c>
      <c r="P121" s="137" t="s">
        <v>568</v>
      </c>
      <c r="Q121" s="129" t="s">
        <v>568</v>
      </c>
      <c r="R121" s="128">
        <v>5000</v>
      </c>
      <c r="S121" s="128" t="str">
        <f>IFERROR(VLOOKUP(Q121,'Veicamo darbu apraksts'!$B$2:$D$39,2,FALSE),"")</f>
        <v>m2</v>
      </c>
      <c r="T121" s="128">
        <f>IFERROR(VLOOKUP(Q121,'Veicamo darbu apraksts'!$B$2:$D$39,3,FALSE),"")</f>
        <v>50</v>
      </c>
      <c r="U121" s="129">
        <f t="shared" si="17"/>
        <v>250000</v>
      </c>
      <c r="V121" s="132">
        <v>500</v>
      </c>
      <c r="W121" s="133">
        <v>0.5</v>
      </c>
      <c r="X121" s="132">
        <v>10</v>
      </c>
      <c r="Y121" s="126">
        <f t="shared" si="13"/>
        <v>30000</v>
      </c>
      <c r="Z121" s="134">
        <f t="shared" si="14"/>
        <v>60000</v>
      </c>
      <c r="AA121" s="135">
        <f t="shared" si="18"/>
        <v>8.3333333333333339</v>
      </c>
      <c r="AB121" s="135">
        <f t="shared" si="19"/>
        <v>4.166666666666667</v>
      </c>
      <c r="AC121" s="303">
        <v>7</v>
      </c>
    </row>
    <row r="122" spans="1:29" s="136" customFormat="1" ht="52.9">
      <c r="A122" s="254" t="s">
        <v>157</v>
      </c>
      <c r="B122" s="254" t="s">
        <v>157</v>
      </c>
      <c r="C122" s="255" t="s">
        <v>329</v>
      </c>
      <c r="D122" s="256" t="s">
        <v>733</v>
      </c>
      <c r="E122" s="257" t="s">
        <v>734</v>
      </c>
      <c r="F122" s="255" t="s">
        <v>735</v>
      </c>
      <c r="G122" s="156" t="s">
        <v>490</v>
      </c>
      <c r="H122" s="156"/>
      <c r="I122" s="156"/>
      <c r="J122" s="256" t="s">
        <v>520</v>
      </c>
      <c r="K122" s="258"/>
      <c r="L122" s="258"/>
      <c r="M122" s="258"/>
      <c r="N122" s="258"/>
      <c r="O122" s="256" t="s">
        <v>736</v>
      </c>
      <c r="P122" s="137" t="s">
        <v>681</v>
      </c>
      <c r="Q122" s="129" t="s">
        <v>398</v>
      </c>
      <c r="R122" s="128">
        <v>10000</v>
      </c>
      <c r="S122" s="128" t="str">
        <f>IFERROR(VLOOKUP(Q122,'Veicamo darbu apraksts'!$B$2:$D$39,2,FALSE),"")</f>
        <v>m2</v>
      </c>
      <c r="T122" s="128">
        <f>IFERROR(VLOOKUP(Q122,'Veicamo darbu apraksts'!$B$2:$D$39,3,FALSE),"")</f>
        <v>55</v>
      </c>
      <c r="U122" s="129">
        <f>IFERROR(R122*T122,0)</f>
        <v>550000</v>
      </c>
      <c r="V122" s="132">
        <v>1000</v>
      </c>
      <c r="W122" s="133">
        <v>0.3</v>
      </c>
      <c r="X122" s="132">
        <v>10</v>
      </c>
      <c r="Y122" s="126">
        <f t="shared" si="13"/>
        <v>36000</v>
      </c>
      <c r="Z122" s="134">
        <f t="shared" si="14"/>
        <v>120000</v>
      </c>
      <c r="AA122" s="135">
        <f t="shared" si="18"/>
        <v>15.277777777777779</v>
      </c>
      <c r="AB122" s="135">
        <f t="shared" si="19"/>
        <v>4.583333333333333</v>
      </c>
      <c r="AC122" s="303">
        <v>7</v>
      </c>
    </row>
    <row r="123" spans="1:29" s="136" customFormat="1" ht="64.5" customHeight="1">
      <c r="A123" s="254" t="s">
        <v>158</v>
      </c>
      <c r="B123" s="254" t="s">
        <v>158</v>
      </c>
      <c r="C123" s="255" t="s">
        <v>329</v>
      </c>
      <c r="D123" s="256" t="s">
        <v>733</v>
      </c>
      <c r="E123" s="257" t="s">
        <v>734</v>
      </c>
      <c r="F123" s="255" t="s">
        <v>735</v>
      </c>
      <c r="G123" s="156" t="s">
        <v>490</v>
      </c>
      <c r="H123" s="156"/>
      <c r="I123" s="156"/>
      <c r="J123" s="256" t="s">
        <v>520</v>
      </c>
      <c r="K123" s="258"/>
      <c r="L123" s="258"/>
      <c r="M123" s="258"/>
      <c r="N123" s="258"/>
      <c r="O123" s="256" t="s">
        <v>737</v>
      </c>
      <c r="P123" s="137" t="s">
        <v>681</v>
      </c>
      <c r="Q123" s="129" t="s">
        <v>675</v>
      </c>
      <c r="R123" s="128">
        <v>1500</v>
      </c>
      <c r="S123" s="128" t="str">
        <f>IFERROR(VLOOKUP(Q123,'Veicamo darbu apraksts'!$B$2:$D$39,2,FALSE),"")</f>
        <v>m2</v>
      </c>
      <c r="T123" s="128">
        <f>IFERROR(VLOOKUP(Q123,'Veicamo darbu apraksts'!$B$2:$D$39,3,FALSE),"")</f>
        <v>55</v>
      </c>
      <c r="U123" s="129">
        <f>IFERROR(R123*T123,0)</f>
        <v>82500</v>
      </c>
      <c r="V123" s="132">
        <v>1000</v>
      </c>
      <c r="W123" s="133">
        <v>0.3</v>
      </c>
      <c r="X123" s="132">
        <v>10</v>
      </c>
      <c r="Y123" s="126">
        <f t="shared" ref="Y123" si="24">V123*W123*X123*12</f>
        <v>36000</v>
      </c>
      <c r="Z123" s="134">
        <f t="shared" ref="Z123" si="25">V123*X123*12</f>
        <v>120000</v>
      </c>
      <c r="AA123" s="135">
        <f t="shared" ref="AA123" si="26">U123/Y123</f>
        <v>2.2916666666666665</v>
      </c>
      <c r="AB123" s="135">
        <f t="shared" ref="AB123" si="27">U123/Z123</f>
        <v>0.6875</v>
      </c>
      <c r="AC123" s="303">
        <v>2</v>
      </c>
    </row>
    <row r="124" spans="1:29" s="136" customFormat="1" ht="66">
      <c r="A124" s="254" t="s">
        <v>120</v>
      </c>
      <c r="B124" s="254" t="s">
        <v>120</v>
      </c>
      <c r="C124" s="255" t="s">
        <v>329</v>
      </c>
      <c r="D124" s="256" t="s">
        <v>738</v>
      </c>
      <c r="E124" s="257">
        <v>80560020380</v>
      </c>
      <c r="F124" s="259" t="s">
        <v>518</v>
      </c>
      <c r="G124" s="156" t="s">
        <v>490</v>
      </c>
      <c r="H124" s="156"/>
      <c r="I124" s="156"/>
      <c r="J124" s="256" t="s">
        <v>520</v>
      </c>
      <c r="K124" s="258"/>
      <c r="L124" s="258"/>
      <c r="M124" s="258"/>
      <c r="N124" s="258"/>
      <c r="O124" s="256" t="s">
        <v>739</v>
      </c>
      <c r="P124" s="129" t="s">
        <v>681</v>
      </c>
      <c r="Q124" s="129" t="s">
        <v>675</v>
      </c>
      <c r="R124" s="128">
        <v>15000</v>
      </c>
      <c r="S124" s="128" t="str">
        <f>IFERROR(VLOOKUP(Q124,'Veicamo darbu apraksts'!$B$2:$D$39,2,FALSE),"")</f>
        <v>m2</v>
      </c>
      <c r="T124" s="128">
        <f>IFERROR(VLOOKUP(Q124,'Veicamo darbu apraksts'!$B$2:$D$39,3,FALSE),"")</f>
        <v>55</v>
      </c>
      <c r="U124" s="129">
        <f t="shared" ref="U124:U172" si="28">IFERROR(R124*T124,0)</f>
        <v>825000</v>
      </c>
      <c r="V124" s="132">
        <v>500</v>
      </c>
      <c r="W124" s="133">
        <v>0.5</v>
      </c>
      <c r="X124" s="132">
        <v>10</v>
      </c>
      <c r="Y124" s="126">
        <f t="shared" si="13"/>
        <v>30000</v>
      </c>
      <c r="Z124" s="134">
        <f t="shared" si="14"/>
        <v>60000</v>
      </c>
      <c r="AA124" s="135">
        <f t="shared" si="18"/>
        <v>27.5</v>
      </c>
      <c r="AB124" s="135">
        <f t="shared" si="19"/>
        <v>13.75</v>
      </c>
      <c r="AC124" s="303">
        <v>7</v>
      </c>
    </row>
    <row r="125" spans="1:29" s="136" customFormat="1" ht="40.5" customHeight="1">
      <c r="A125" s="127" t="s">
        <v>121</v>
      </c>
      <c r="B125" s="127" t="s">
        <v>121</v>
      </c>
      <c r="C125" s="128" t="s">
        <v>329</v>
      </c>
      <c r="D125" s="137" t="s">
        <v>740</v>
      </c>
      <c r="E125" s="130">
        <v>80560020380</v>
      </c>
      <c r="F125" s="147" t="s">
        <v>518</v>
      </c>
      <c r="G125" s="129" t="s">
        <v>490</v>
      </c>
      <c r="H125" s="129"/>
      <c r="I125" s="129"/>
      <c r="J125" s="137" t="s">
        <v>546</v>
      </c>
      <c r="K125" s="126"/>
      <c r="L125" s="126"/>
      <c r="M125" s="126"/>
      <c r="N125" s="126"/>
      <c r="O125" s="137" t="s">
        <v>741</v>
      </c>
      <c r="P125" s="137" t="s">
        <v>467</v>
      </c>
      <c r="Q125" s="129" t="s">
        <v>467</v>
      </c>
      <c r="R125" s="128">
        <v>2</v>
      </c>
      <c r="S125" s="128" t="str">
        <f>IFERROR(VLOOKUP(Q125,'Veicamo darbu apraksts'!$B$2:$D$39,2,FALSE),"")</f>
        <v>gab.</v>
      </c>
      <c r="T125" s="128">
        <f>IFERROR(VLOOKUP(Q125,'Veicamo darbu apraksts'!$B$2:$D$39,3,FALSE),"")</f>
        <v>3150</v>
      </c>
      <c r="U125" s="129">
        <f t="shared" si="28"/>
        <v>6300</v>
      </c>
      <c r="V125" s="132">
        <v>250</v>
      </c>
      <c r="W125" s="133">
        <v>0.3</v>
      </c>
      <c r="X125" s="132">
        <v>8</v>
      </c>
      <c r="Y125" s="126">
        <f t="shared" si="13"/>
        <v>7200</v>
      </c>
      <c r="Z125" s="134">
        <f t="shared" si="14"/>
        <v>24000</v>
      </c>
      <c r="AA125" s="135">
        <f t="shared" si="18"/>
        <v>0.875</v>
      </c>
      <c r="AB125" s="135">
        <f t="shared" si="19"/>
        <v>0.26250000000000001</v>
      </c>
      <c r="AC125" s="303">
        <v>1</v>
      </c>
    </row>
    <row r="126" spans="1:29" s="136" customFormat="1" ht="39.6">
      <c r="A126" s="127" t="s">
        <v>123</v>
      </c>
      <c r="B126" s="127" t="s">
        <v>123</v>
      </c>
      <c r="C126" s="128" t="s">
        <v>329</v>
      </c>
      <c r="D126" s="137" t="s">
        <v>742</v>
      </c>
      <c r="E126" s="130">
        <v>80560020380</v>
      </c>
      <c r="F126" s="147" t="s">
        <v>518</v>
      </c>
      <c r="G126" s="129" t="s">
        <v>490</v>
      </c>
      <c r="H126" s="129"/>
      <c r="I126" s="129"/>
      <c r="J126" s="137" t="s">
        <v>553</v>
      </c>
      <c r="K126" s="126"/>
      <c r="L126" s="126"/>
      <c r="M126" s="126"/>
      <c r="N126" s="126"/>
      <c r="O126" s="128" t="s">
        <v>743</v>
      </c>
      <c r="P126" s="137" t="s">
        <v>423</v>
      </c>
      <c r="Q126" s="129" t="s">
        <v>423</v>
      </c>
      <c r="R126" s="128">
        <v>7</v>
      </c>
      <c r="S126" s="128" t="str">
        <f>IFERROR(VLOOKUP(Q126,'Veicamo darbu apraksts'!$B$2:$D$39,2,FALSE),"")</f>
        <v>gab.</v>
      </c>
      <c r="T126" s="128">
        <f>IFERROR(VLOOKUP(Q126,'Veicamo darbu apraksts'!$B$2:$D$39,3,FALSE),"")</f>
        <v>2765</v>
      </c>
      <c r="U126" s="129">
        <f t="shared" si="28"/>
        <v>19355</v>
      </c>
      <c r="V126" s="132">
        <v>200</v>
      </c>
      <c r="W126" s="133">
        <v>0.3</v>
      </c>
      <c r="X126" s="132">
        <v>8</v>
      </c>
      <c r="Y126" s="126">
        <f t="shared" si="13"/>
        <v>5760</v>
      </c>
      <c r="Z126" s="134">
        <f t="shared" si="14"/>
        <v>19200</v>
      </c>
      <c r="AA126" s="135">
        <f t="shared" si="18"/>
        <v>3.3602430555555554</v>
      </c>
      <c r="AB126" s="135">
        <f t="shared" si="19"/>
        <v>1.0080729166666667</v>
      </c>
      <c r="AC126" s="303">
        <v>1</v>
      </c>
    </row>
    <row r="127" spans="1:29" s="136" customFormat="1" ht="39.6">
      <c r="A127" s="127" t="s">
        <v>125</v>
      </c>
      <c r="B127" s="127" t="s">
        <v>125</v>
      </c>
      <c r="C127" s="128" t="s">
        <v>329</v>
      </c>
      <c r="D127" s="137" t="s">
        <v>744</v>
      </c>
      <c r="E127" s="130">
        <v>80560020465</v>
      </c>
      <c r="F127" s="147" t="s">
        <v>518</v>
      </c>
      <c r="G127" s="129" t="s">
        <v>490</v>
      </c>
      <c r="H127" s="129"/>
      <c r="I127" s="129"/>
      <c r="J127" s="129" t="s">
        <v>546</v>
      </c>
      <c r="K127" s="126"/>
      <c r="L127" s="126"/>
      <c r="M127" s="126"/>
      <c r="N127" s="126"/>
      <c r="O127" s="128" t="s">
        <v>745</v>
      </c>
      <c r="P127" s="137" t="s">
        <v>423</v>
      </c>
      <c r="Q127" s="129" t="s">
        <v>423</v>
      </c>
      <c r="R127" s="128">
        <v>2</v>
      </c>
      <c r="S127" s="128" t="str">
        <f>IFERROR(VLOOKUP(Q127,'Veicamo darbu apraksts'!$B$2:$D$39,2,FALSE),"")</f>
        <v>gab.</v>
      </c>
      <c r="T127" s="128">
        <f>IFERROR(VLOOKUP(Q127,'Veicamo darbu apraksts'!$B$2:$D$39,3,FALSE),"")</f>
        <v>2765</v>
      </c>
      <c r="U127" s="129">
        <f t="shared" si="28"/>
        <v>5530</v>
      </c>
      <c r="V127" s="132">
        <v>50</v>
      </c>
      <c r="W127" s="133">
        <v>0.3</v>
      </c>
      <c r="X127" s="132">
        <v>8</v>
      </c>
      <c r="Y127" s="126">
        <f t="shared" si="13"/>
        <v>1440</v>
      </c>
      <c r="Z127" s="134">
        <f t="shared" si="14"/>
        <v>4800</v>
      </c>
      <c r="AA127" s="135">
        <f t="shared" si="18"/>
        <v>3.8402777777777777</v>
      </c>
      <c r="AB127" s="135">
        <f t="shared" si="19"/>
        <v>1.1520833333333333</v>
      </c>
      <c r="AC127" s="303">
        <v>1</v>
      </c>
    </row>
    <row r="128" spans="1:29" s="136" customFormat="1" ht="39.6">
      <c r="A128" s="127" t="s">
        <v>126</v>
      </c>
      <c r="B128" s="127" t="s">
        <v>126</v>
      </c>
      <c r="C128" s="128" t="s">
        <v>329</v>
      </c>
      <c r="D128" s="137" t="s">
        <v>746</v>
      </c>
      <c r="E128" s="130">
        <v>80560020465</v>
      </c>
      <c r="F128" s="147" t="s">
        <v>518</v>
      </c>
      <c r="G128" s="129" t="s">
        <v>490</v>
      </c>
      <c r="H128" s="129"/>
      <c r="I128" s="129"/>
      <c r="J128" s="129" t="s">
        <v>546</v>
      </c>
      <c r="K128" s="126"/>
      <c r="L128" s="126"/>
      <c r="M128" s="126"/>
      <c r="N128" s="126"/>
      <c r="O128" s="128" t="s">
        <v>745</v>
      </c>
      <c r="P128" s="137" t="s">
        <v>423</v>
      </c>
      <c r="Q128" s="129" t="s">
        <v>423</v>
      </c>
      <c r="R128" s="128">
        <v>2</v>
      </c>
      <c r="S128" s="128" t="str">
        <f>IFERROR(VLOOKUP(Q128,'Veicamo darbu apraksts'!$B$2:$D$39,2,FALSE),"")</f>
        <v>gab.</v>
      </c>
      <c r="T128" s="128">
        <f>IFERROR(VLOOKUP(Q128,'Veicamo darbu apraksts'!$B$2:$D$39,3,FALSE),"")</f>
        <v>2765</v>
      </c>
      <c r="U128" s="129">
        <f t="shared" si="28"/>
        <v>5530</v>
      </c>
      <c r="V128" s="132">
        <v>50</v>
      </c>
      <c r="W128" s="133">
        <v>0.3</v>
      </c>
      <c r="X128" s="132">
        <v>8</v>
      </c>
      <c r="Y128" s="126">
        <f t="shared" si="13"/>
        <v>1440</v>
      </c>
      <c r="Z128" s="134">
        <f t="shared" si="14"/>
        <v>4800</v>
      </c>
      <c r="AA128" s="135">
        <f t="shared" si="18"/>
        <v>3.8402777777777777</v>
      </c>
      <c r="AB128" s="135">
        <f t="shared" si="19"/>
        <v>1.1520833333333333</v>
      </c>
      <c r="AC128" s="303">
        <v>1</v>
      </c>
    </row>
    <row r="129" spans="1:29" s="136" customFormat="1" ht="39.6">
      <c r="A129" s="127" t="s">
        <v>127</v>
      </c>
      <c r="B129" s="127" t="s">
        <v>127</v>
      </c>
      <c r="C129" s="128" t="s">
        <v>329</v>
      </c>
      <c r="D129" s="137" t="s">
        <v>747</v>
      </c>
      <c r="E129" s="130">
        <v>80560020465</v>
      </c>
      <c r="F129" s="147" t="s">
        <v>518</v>
      </c>
      <c r="G129" s="129" t="s">
        <v>490</v>
      </c>
      <c r="H129" s="129"/>
      <c r="I129" s="129"/>
      <c r="J129" s="129" t="s">
        <v>546</v>
      </c>
      <c r="K129" s="126"/>
      <c r="L129" s="126"/>
      <c r="M129" s="126"/>
      <c r="N129" s="126"/>
      <c r="O129" s="128" t="s">
        <v>745</v>
      </c>
      <c r="P129" s="137" t="s">
        <v>423</v>
      </c>
      <c r="Q129" s="129" t="s">
        <v>423</v>
      </c>
      <c r="R129" s="128">
        <v>2</v>
      </c>
      <c r="S129" s="128" t="str">
        <f>IFERROR(VLOOKUP(Q129,'Veicamo darbu apraksts'!$B$2:$D$39,2,FALSE),"")</f>
        <v>gab.</v>
      </c>
      <c r="T129" s="128">
        <f>IFERROR(VLOOKUP(Q129,'Veicamo darbu apraksts'!$B$2:$D$39,3,FALSE),"")</f>
        <v>2765</v>
      </c>
      <c r="U129" s="129">
        <f t="shared" si="28"/>
        <v>5530</v>
      </c>
      <c r="V129" s="132">
        <v>50</v>
      </c>
      <c r="W129" s="133">
        <v>0.3</v>
      </c>
      <c r="X129" s="132">
        <v>8</v>
      </c>
      <c r="Y129" s="126">
        <f t="shared" si="13"/>
        <v>1440</v>
      </c>
      <c r="Z129" s="134">
        <f t="shared" si="14"/>
        <v>4800</v>
      </c>
      <c r="AA129" s="135">
        <f t="shared" si="18"/>
        <v>3.8402777777777777</v>
      </c>
      <c r="AB129" s="135">
        <f t="shared" si="19"/>
        <v>1.1520833333333333</v>
      </c>
      <c r="AC129" s="303">
        <v>1</v>
      </c>
    </row>
    <row r="130" spans="1:29" s="136" customFormat="1" ht="39.6">
      <c r="A130" s="127" t="s">
        <v>128</v>
      </c>
      <c r="B130" s="127" t="s">
        <v>128</v>
      </c>
      <c r="C130" s="128" t="s">
        <v>329</v>
      </c>
      <c r="D130" s="137" t="s">
        <v>748</v>
      </c>
      <c r="E130" s="130">
        <v>80560020465</v>
      </c>
      <c r="F130" s="147" t="s">
        <v>518</v>
      </c>
      <c r="G130" s="129" t="s">
        <v>490</v>
      </c>
      <c r="H130" s="129"/>
      <c r="I130" s="129"/>
      <c r="J130" s="129" t="s">
        <v>546</v>
      </c>
      <c r="K130" s="126"/>
      <c r="L130" s="126"/>
      <c r="M130" s="126"/>
      <c r="N130" s="126"/>
      <c r="O130" s="128" t="s">
        <v>745</v>
      </c>
      <c r="P130" s="137" t="s">
        <v>467</v>
      </c>
      <c r="Q130" s="129" t="s">
        <v>467</v>
      </c>
      <c r="R130" s="128">
        <v>2</v>
      </c>
      <c r="S130" s="128" t="str">
        <f>IFERROR(VLOOKUP(Q130,'Veicamo darbu apraksts'!$B$2:$D$39,2,FALSE),"")</f>
        <v>gab.</v>
      </c>
      <c r="T130" s="128">
        <f>IFERROR(VLOOKUP(Q130,'Veicamo darbu apraksts'!$B$2:$D$39,3,FALSE),"")</f>
        <v>3150</v>
      </c>
      <c r="U130" s="129">
        <f t="shared" si="28"/>
        <v>6300</v>
      </c>
      <c r="V130" s="132">
        <v>200</v>
      </c>
      <c r="W130" s="133">
        <v>0.3</v>
      </c>
      <c r="X130" s="132">
        <v>10</v>
      </c>
      <c r="Y130" s="126">
        <f t="shared" si="13"/>
        <v>7200</v>
      </c>
      <c r="Z130" s="134">
        <f t="shared" si="14"/>
        <v>24000</v>
      </c>
      <c r="AA130" s="135">
        <f t="shared" si="18"/>
        <v>0.875</v>
      </c>
      <c r="AB130" s="135">
        <f t="shared" si="19"/>
        <v>0.26250000000000001</v>
      </c>
      <c r="AC130" s="303">
        <v>1</v>
      </c>
    </row>
    <row r="131" spans="1:29" s="136" customFormat="1" ht="24" customHeight="1">
      <c r="A131" s="127" t="s">
        <v>129</v>
      </c>
      <c r="B131" s="127" t="s">
        <v>129</v>
      </c>
      <c r="C131" s="128" t="s">
        <v>329</v>
      </c>
      <c r="D131" s="137" t="s">
        <v>749</v>
      </c>
      <c r="E131" s="130">
        <v>80700120268</v>
      </c>
      <c r="F131" s="147" t="s">
        <v>425</v>
      </c>
      <c r="G131" s="129" t="s">
        <v>490</v>
      </c>
      <c r="H131" s="129" t="s">
        <v>750</v>
      </c>
      <c r="I131" s="129"/>
      <c r="J131" s="129" t="s">
        <v>454</v>
      </c>
      <c r="K131" s="126"/>
      <c r="L131" s="126"/>
      <c r="M131" s="126"/>
      <c r="N131" s="126"/>
      <c r="O131" s="128"/>
      <c r="P131" s="137"/>
      <c r="Q131" s="129" t="s">
        <v>578</v>
      </c>
      <c r="R131" s="128">
        <v>1</v>
      </c>
      <c r="S131" s="128" t="str">
        <f>IFERROR(VLOOKUP(Q131,'Veicamo darbu apraksts'!$B$2:$D$39,2,FALSE),"")</f>
        <v>gab.</v>
      </c>
      <c r="T131" s="128">
        <f>IFERROR(VLOOKUP(Q131,'Veicamo darbu apraksts'!$B$2:$D$39,3,FALSE),"")</f>
        <v>7160</v>
      </c>
      <c r="U131" s="129">
        <f t="shared" si="28"/>
        <v>7160</v>
      </c>
      <c r="V131" s="132">
        <v>500</v>
      </c>
      <c r="W131" s="133">
        <v>1</v>
      </c>
      <c r="X131" s="132">
        <v>6</v>
      </c>
      <c r="Y131" s="126">
        <f t="shared" si="13"/>
        <v>36000</v>
      </c>
      <c r="Z131" s="134">
        <f t="shared" si="14"/>
        <v>36000</v>
      </c>
      <c r="AA131" s="135">
        <f t="shared" si="18"/>
        <v>0.19888888888888889</v>
      </c>
      <c r="AB131" s="135">
        <f t="shared" si="19"/>
        <v>0.19888888888888889</v>
      </c>
      <c r="AC131" s="303">
        <v>7</v>
      </c>
    </row>
    <row r="132" spans="1:29" s="136" customFormat="1" ht="82.9" customHeight="1">
      <c r="A132" s="216" t="s">
        <v>159</v>
      </c>
      <c r="B132" s="218" t="s">
        <v>159</v>
      </c>
      <c r="C132" s="137" t="s">
        <v>331</v>
      </c>
      <c r="D132" s="286" t="s">
        <v>751</v>
      </c>
      <c r="E132" s="287">
        <v>80700181736</v>
      </c>
      <c r="F132" s="308" t="s">
        <v>385</v>
      </c>
      <c r="G132" s="153" t="s">
        <v>490</v>
      </c>
      <c r="H132" s="153"/>
      <c r="I132" s="153"/>
      <c r="J132" s="153" t="s">
        <v>469</v>
      </c>
      <c r="K132" s="126"/>
      <c r="L132" s="126"/>
      <c r="M132" s="126"/>
      <c r="N132" s="126"/>
      <c r="O132" s="137" t="s">
        <v>752</v>
      </c>
      <c r="P132" s="137" t="s">
        <v>614</v>
      </c>
      <c r="Q132" s="129" t="s">
        <v>753</v>
      </c>
      <c r="R132" s="128">
        <v>1</v>
      </c>
      <c r="S132" s="128" t="str">
        <f>IFERROR(VLOOKUP(Q132,'Veicamo darbu apraksts'!$B$2:$D$39,2,FALSE),"")</f>
        <v>gab.</v>
      </c>
      <c r="T132" s="128">
        <f>IFERROR(VLOOKUP(Q132,'Veicamo darbu apraksts'!$B$2:$D$39,3,FALSE),"")</f>
        <v>45100</v>
      </c>
      <c r="U132" s="129">
        <f t="shared" si="28"/>
        <v>45100</v>
      </c>
      <c r="V132" s="132">
        <v>300</v>
      </c>
      <c r="W132" s="133">
        <v>1</v>
      </c>
      <c r="X132" s="132">
        <v>3</v>
      </c>
      <c r="Y132" s="126">
        <f t="shared" ref="Y132" si="29">V132*W132*X132*12</f>
        <v>10800</v>
      </c>
      <c r="Z132" s="134">
        <f>V132*X132*12</f>
        <v>10800</v>
      </c>
      <c r="AA132" s="135">
        <f>U132/Y132</f>
        <v>4.1759259259259256</v>
      </c>
      <c r="AB132" s="135">
        <f t="shared" si="19"/>
        <v>4.1759259259259256</v>
      </c>
      <c r="AC132" s="303">
        <v>1</v>
      </c>
    </row>
    <row r="133" spans="1:29" ht="49.15" customHeight="1">
      <c r="A133" s="93" t="s">
        <v>80</v>
      </c>
      <c r="B133" s="93" t="s">
        <v>80</v>
      </c>
      <c r="C133" s="97" t="s">
        <v>293</v>
      </c>
      <c r="D133" s="97" t="s">
        <v>754</v>
      </c>
      <c r="E133" s="95">
        <v>80050010218</v>
      </c>
      <c r="F133" s="201" t="s">
        <v>385</v>
      </c>
      <c r="G133" s="98" t="s">
        <v>386</v>
      </c>
      <c r="H133" s="98"/>
      <c r="I133" s="98"/>
      <c r="J133" s="97" t="s">
        <v>388</v>
      </c>
      <c r="K133" s="64" t="s">
        <v>389</v>
      </c>
      <c r="L133" s="64" t="s">
        <v>395</v>
      </c>
      <c r="M133" s="64" t="s">
        <v>395</v>
      </c>
      <c r="N133" s="64" t="s">
        <v>389</v>
      </c>
      <c r="O133" s="97" t="s">
        <v>755</v>
      </c>
      <c r="P133" s="97" t="s">
        <v>391</v>
      </c>
      <c r="Q133" s="94" t="s">
        <v>391</v>
      </c>
      <c r="R133" s="90">
        <v>500</v>
      </c>
      <c r="S133" s="90" t="str">
        <f>IFERROR(VLOOKUP(Q133,'Veicamo darbu apraksts'!$B$2:$D$39,2,FALSE),"")</f>
        <v>m2</v>
      </c>
      <c r="T133" s="90">
        <f>IFERROR(VLOOKUP(Q133,'Veicamo darbu apraksts'!$B$2:$D$39,3,FALSE),"")</f>
        <v>50</v>
      </c>
      <c r="U133" s="94">
        <f t="shared" si="28"/>
        <v>25000</v>
      </c>
      <c r="V133" s="117">
        <v>1000</v>
      </c>
      <c r="W133" s="67">
        <v>0.01</v>
      </c>
      <c r="X133" s="68">
        <v>15</v>
      </c>
      <c r="Y133" s="96">
        <f>V133*W133*X133*12</f>
        <v>1800</v>
      </c>
      <c r="Z133" s="110">
        <f>V133*X133*12</f>
        <v>180000</v>
      </c>
      <c r="AA133" s="105">
        <f t="shared" ref="AA133:AA200" si="30">U133/Y133</f>
        <v>13.888888888888889</v>
      </c>
      <c r="AB133" s="105">
        <f t="shared" si="19"/>
        <v>0.1388888888888889</v>
      </c>
      <c r="AC133" s="305">
        <v>1</v>
      </c>
    </row>
    <row r="134" spans="1:29" ht="55.15" customHeight="1">
      <c r="A134" s="93" t="s">
        <v>91</v>
      </c>
      <c r="B134" s="93" t="s">
        <v>91</v>
      </c>
      <c r="C134" s="97" t="s">
        <v>293</v>
      </c>
      <c r="D134" s="97" t="s">
        <v>756</v>
      </c>
      <c r="E134" s="95">
        <v>80050011714</v>
      </c>
      <c r="F134" s="201" t="s">
        <v>385</v>
      </c>
      <c r="G134" s="98" t="s">
        <v>386</v>
      </c>
      <c r="H134" s="98"/>
      <c r="I134" s="98"/>
      <c r="J134" s="97" t="s">
        <v>757</v>
      </c>
      <c r="K134" s="64" t="s">
        <v>389</v>
      </c>
      <c r="L134" s="64" t="s">
        <v>395</v>
      </c>
      <c r="M134" s="64" t="s">
        <v>389</v>
      </c>
      <c r="N134" s="64" t="s">
        <v>389</v>
      </c>
      <c r="O134" s="97" t="s">
        <v>758</v>
      </c>
      <c r="P134" s="97" t="s">
        <v>391</v>
      </c>
      <c r="Q134" s="94" t="s">
        <v>391</v>
      </c>
      <c r="R134" s="90">
        <v>2500</v>
      </c>
      <c r="S134" s="90" t="str">
        <f>IFERROR(VLOOKUP(Q134,'Veicamo darbu apraksts'!$B$2:$D$39,2,FALSE),"")</f>
        <v>m2</v>
      </c>
      <c r="T134" s="90">
        <f>IFERROR(VLOOKUP(Q134,'Veicamo darbu apraksts'!$B$2:$D$39,3,FALSE),"")</f>
        <v>50</v>
      </c>
      <c r="U134" s="94">
        <f t="shared" si="28"/>
        <v>125000</v>
      </c>
      <c r="V134" s="117">
        <v>2000</v>
      </c>
      <c r="W134" s="67">
        <v>0.2</v>
      </c>
      <c r="X134" s="68">
        <v>8</v>
      </c>
      <c r="Y134" s="96">
        <f>V134*W134*X134*12</f>
        <v>38400</v>
      </c>
      <c r="Z134" s="110">
        <f t="shared" ref="Z134:Z160" si="31">V134*X134*12</f>
        <v>192000</v>
      </c>
      <c r="AA134" s="105">
        <f t="shared" si="30"/>
        <v>3.2552083333333335</v>
      </c>
      <c r="AB134" s="105">
        <f t="shared" si="19"/>
        <v>0.65104166666666663</v>
      </c>
      <c r="AC134" s="305">
        <v>1</v>
      </c>
    </row>
    <row r="135" spans="1:29" ht="90.4" customHeight="1">
      <c r="A135" s="93" t="s">
        <v>102</v>
      </c>
      <c r="B135" s="93" t="s">
        <v>102</v>
      </c>
      <c r="C135" s="97" t="s">
        <v>293</v>
      </c>
      <c r="D135" s="97" t="s">
        <v>759</v>
      </c>
      <c r="E135" s="95">
        <v>80050011714</v>
      </c>
      <c r="F135" s="201" t="s">
        <v>385</v>
      </c>
      <c r="G135" s="98" t="s">
        <v>386</v>
      </c>
      <c r="H135" s="98"/>
      <c r="I135" s="98"/>
      <c r="J135" s="97" t="s">
        <v>757</v>
      </c>
      <c r="K135" s="64" t="s">
        <v>389</v>
      </c>
      <c r="L135" s="64" t="s">
        <v>404</v>
      </c>
      <c r="M135" s="64" t="s">
        <v>395</v>
      </c>
      <c r="N135" s="64" t="s">
        <v>395</v>
      </c>
      <c r="O135" s="97" t="s">
        <v>760</v>
      </c>
      <c r="P135" s="97" t="s">
        <v>449</v>
      </c>
      <c r="Q135" s="94" t="s">
        <v>391</v>
      </c>
      <c r="R135" s="90">
        <v>1000</v>
      </c>
      <c r="S135" s="90" t="str">
        <f>IFERROR(VLOOKUP(Q135,'Veicamo darbu apraksts'!$B$2:$D$39,2,FALSE),"")</f>
        <v>m2</v>
      </c>
      <c r="T135" s="90">
        <f>IFERROR(VLOOKUP(Q135,'Veicamo darbu apraksts'!$B$2:$D$39,3,FALSE),"")</f>
        <v>50</v>
      </c>
      <c r="U135" s="94">
        <f t="shared" si="28"/>
        <v>50000</v>
      </c>
      <c r="V135" s="117">
        <v>2000</v>
      </c>
      <c r="W135" s="67">
        <v>0.05</v>
      </c>
      <c r="X135" s="68">
        <v>4</v>
      </c>
      <c r="Y135" s="96">
        <f t="shared" ref="Y135:Y203" si="32">V135*W135*X135*12</f>
        <v>4800</v>
      </c>
      <c r="Z135" s="110">
        <f t="shared" si="31"/>
        <v>96000</v>
      </c>
      <c r="AA135" s="105">
        <f t="shared" si="30"/>
        <v>10.416666666666666</v>
      </c>
      <c r="AB135" s="105">
        <f t="shared" si="19"/>
        <v>0.52083333333333337</v>
      </c>
      <c r="AC135" s="305">
        <v>1</v>
      </c>
    </row>
    <row r="136" spans="1:29" ht="42.4" customHeight="1">
      <c r="A136" s="93" t="s">
        <v>112</v>
      </c>
      <c r="B136" s="93" t="s">
        <v>112</v>
      </c>
      <c r="C136" s="97" t="s">
        <v>293</v>
      </c>
      <c r="D136" s="97" t="s">
        <v>761</v>
      </c>
      <c r="E136" s="95">
        <v>80050011714</v>
      </c>
      <c r="F136" s="201" t="s">
        <v>385</v>
      </c>
      <c r="G136" s="98" t="s">
        <v>386</v>
      </c>
      <c r="H136" s="98"/>
      <c r="I136" s="98"/>
      <c r="J136" s="97" t="s">
        <v>762</v>
      </c>
      <c r="K136" s="92"/>
      <c r="L136" s="92"/>
      <c r="M136" s="92"/>
      <c r="N136" s="92"/>
      <c r="O136" s="97" t="s">
        <v>763</v>
      </c>
      <c r="P136" s="94" t="s">
        <v>764</v>
      </c>
      <c r="Q136" s="94" t="s">
        <v>764</v>
      </c>
      <c r="R136" s="90">
        <v>1</v>
      </c>
      <c r="S136" s="90" t="s">
        <v>493</v>
      </c>
      <c r="T136" s="90">
        <f>IFERROR(VLOOKUP(Q136,'Veicamo darbu apraksts'!$B$2:$D$39,3,FALSE),"")</f>
        <v>6890</v>
      </c>
      <c r="U136" s="94">
        <f t="shared" ref="U136" si="33">IFERROR(R136*T136,0)</f>
        <v>6890</v>
      </c>
      <c r="V136" s="117">
        <v>2000</v>
      </c>
      <c r="W136" s="67">
        <v>0.05</v>
      </c>
      <c r="X136" s="68">
        <v>4</v>
      </c>
      <c r="Y136" s="96">
        <f t="shared" ref="Y136" si="34">V136*W136*X136*12</f>
        <v>4800</v>
      </c>
      <c r="Z136" s="110">
        <f t="shared" ref="Z136" si="35">V136*X136*12</f>
        <v>96000</v>
      </c>
      <c r="AA136" s="105">
        <f t="shared" ref="AA136" si="36">U136/Y136</f>
        <v>1.4354166666666666</v>
      </c>
      <c r="AB136" s="105">
        <f t="shared" ref="AB136" si="37">U136/Z136</f>
        <v>7.1770833333333339E-2</v>
      </c>
      <c r="AC136" s="305">
        <v>2</v>
      </c>
    </row>
    <row r="137" spans="1:29" ht="48.4" customHeight="1">
      <c r="A137" s="93" t="s">
        <v>114</v>
      </c>
      <c r="B137" s="93" t="s">
        <v>114</v>
      </c>
      <c r="C137" s="97" t="s">
        <v>293</v>
      </c>
      <c r="D137" s="97" t="s">
        <v>765</v>
      </c>
      <c r="E137" s="95">
        <v>80050013806</v>
      </c>
      <c r="F137" s="201" t="s">
        <v>385</v>
      </c>
      <c r="G137" s="98" t="s">
        <v>386</v>
      </c>
      <c r="H137" s="98"/>
      <c r="I137" s="98"/>
      <c r="J137" s="97" t="s">
        <v>762</v>
      </c>
      <c r="K137" s="92"/>
      <c r="L137" s="92"/>
      <c r="M137" s="92"/>
      <c r="N137" s="92"/>
      <c r="O137" s="97" t="s">
        <v>766</v>
      </c>
      <c r="P137" s="94" t="s">
        <v>483</v>
      </c>
      <c r="Q137" s="94" t="s">
        <v>483</v>
      </c>
      <c r="R137" s="90">
        <v>1</v>
      </c>
      <c r="S137" s="90" t="str">
        <f>IFERROR(VLOOKUP(Q137,'Veicamo darbu apraksts'!$B$2:$D$39,2,FALSE),"")</f>
        <v>gab.</v>
      </c>
      <c r="T137" s="90">
        <f>IFERROR(VLOOKUP(Q137,'Veicamo darbu apraksts'!$B$2:$D$39,3,FALSE),"")</f>
        <v>13080</v>
      </c>
      <c r="U137" s="94">
        <f t="shared" si="28"/>
        <v>13080</v>
      </c>
      <c r="V137" s="117">
        <v>1200</v>
      </c>
      <c r="W137" s="67">
        <v>0.15</v>
      </c>
      <c r="X137" s="68">
        <v>20</v>
      </c>
      <c r="Y137" s="96">
        <f t="shared" si="32"/>
        <v>43200</v>
      </c>
      <c r="Z137" s="110">
        <f>V137*X137*12</f>
        <v>288000</v>
      </c>
      <c r="AA137" s="105">
        <f t="shared" si="30"/>
        <v>0.30277777777777776</v>
      </c>
      <c r="AB137" s="105">
        <f t="shared" si="19"/>
        <v>4.5416666666666668E-2</v>
      </c>
      <c r="AC137" s="305">
        <v>2</v>
      </c>
    </row>
    <row r="138" spans="1:29" ht="72" customHeight="1">
      <c r="A138" s="93" t="s">
        <v>115</v>
      </c>
      <c r="B138" s="93" t="s">
        <v>115</v>
      </c>
      <c r="C138" s="97" t="s">
        <v>293</v>
      </c>
      <c r="D138" s="97" t="s">
        <v>767</v>
      </c>
      <c r="E138" s="95" t="s">
        <v>768</v>
      </c>
      <c r="F138" s="201" t="s">
        <v>385</v>
      </c>
      <c r="G138" s="94" t="s">
        <v>490</v>
      </c>
      <c r="H138" s="94"/>
      <c r="I138" s="94"/>
      <c r="J138" s="97" t="s">
        <v>757</v>
      </c>
      <c r="K138" s="92"/>
      <c r="L138" s="92"/>
      <c r="M138" s="92"/>
      <c r="N138" s="92"/>
      <c r="O138" s="97" t="s">
        <v>769</v>
      </c>
      <c r="P138" s="97" t="s">
        <v>631</v>
      </c>
      <c r="Q138" s="94" t="s">
        <v>568</v>
      </c>
      <c r="R138" s="90">
        <v>5000</v>
      </c>
      <c r="S138" s="90" t="str">
        <f>IFERROR(VLOOKUP(Q138,'Veicamo darbu apraksts'!$B$2:$D$39,2,FALSE),"")</f>
        <v>m2</v>
      </c>
      <c r="T138" s="90">
        <f>IFERROR(VLOOKUP(Q138,'Veicamo darbu apraksts'!$B$2:$D$39,3,FALSE),"")</f>
        <v>50</v>
      </c>
      <c r="U138" s="94">
        <f t="shared" si="28"/>
        <v>250000</v>
      </c>
      <c r="V138" s="117">
        <v>500</v>
      </c>
      <c r="W138" s="67">
        <v>0.15</v>
      </c>
      <c r="X138" s="68">
        <v>20</v>
      </c>
      <c r="Y138" s="96">
        <f t="shared" si="32"/>
        <v>18000</v>
      </c>
      <c r="Z138" s="110">
        <f t="shared" si="31"/>
        <v>120000</v>
      </c>
      <c r="AA138" s="105">
        <f t="shared" si="30"/>
        <v>13.888888888888889</v>
      </c>
      <c r="AB138" s="105">
        <f t="shared" si="19"/>
        <v>2.0833333333333335</v>
      </c>
      <c r="AC138" s="305">
        <v>2</v>
      </c>
    </row>
    <row r="139" spans="1:29" ht="48.4" customHeight="1">
      <c r="A139" s="93" t="s">
        <v>770</v>
      </c>
      <c r="B139" s="93" t="s">
        <v>116</v>
      </c>
      <c r="C139" s="97" t="s">
        <v>293</v>
      </c>
      <c r="D139" s="97" t="s">
        <v>771</v>
      </c>
      <c r="E139" s="95" t="s">
        <v>772</v>
      </c>
      <c r="F139" s="201" t="s">
        <v>385</v>
      </c>
      <c r="G139" s="98" t="s">
        <v>386</v>
      </c>
      <c r="H139" s="98"/>
      <c r="I139" s="98"/>
      <c r="J139" s="97" t="s">
        <v>454</v>
      </c>
      <c r="K139" s="64" t="s">
        <v>404</v>
      </c>
      <c r="L139" s="64" t="s">
        <v>404</v>
      </c>
      <c r="M139" s="64" t="s">
        <v>404</v>
      </c>
      <c r="N139" s="64" t="s">
        <v>404</v>
      </c>
      <c r="O139" s="97" t="s">
        <v>773</v>
      </c>
      <c r="P139" s="97" t="s">
        <v>774</v>
      </c>
      <c r="Q139" s="94" t="s">
        <v>578</v>
      </c>
      <c r="R139" s="90">
        <v>1</v>
      </c>
      <c r="S139" s="90" t="str">
        <f>IFERROR(VLOOKUP(Q139,'Veicamo darbu apraksts'!$B$2:$D$39,2,FALSE),"")</f>
        <v>gab.</v>
      </c>
      <c r="T139" s="90">
        <f>IFERROR(VLOOKUP(Q139,'Veicamo darbu apraksts'!$B$2:$D$39,3,FALSE),"")</f>
        <v>7160</v>
      </c>
      <c r="U139" s="94">
        <f t="shared" si="28"/>
        <v>7160</v>
      </c>
      <c r="V139" s="117">
        <v>3000</v>
      </c>
      <c r="W139" s="67">
        <v>1.5</v>
      </c>
      <c r="X139" s="68">
        <v>4</v>
      </c>
      <c r="Y139" s="96">
        <f t="shared" si="32"/>
        <v>216000</v>
      </c>
      <c r="Z139" s="110">
        <f t="shared" si="31"/>
        <v>144000</v>
      </c>
      <c r="AA139" s="105">
        <f t="shared" si="30"/>
        <v>3.3148148148148149E-2</v>
      </c>
      <c r="AB139" s="105">
        <f t="shared" si="19"/>
        <v>4.9722222222222223E-2</v>
      </c>
      <c r="AC139" s="305">
        <v>2</v>
      </c>
    </row>
    <row r="140" spans="1:29" ht="42.4" customHeight="1">
      <c r="A140" s="93" t="s">
        <v>770</v>
      </c>
      <c r="B140" s="93" t="s">
        <v>117</v>
      </c>
      <c r="C140" s="97" t="s">
        <v>293</v>
      </c>
      <c r="D140" s="97" t="s">
        <v>771</v>
      </c>
      <c r="E140" s="95" t="s">
        <v>772</v>
      </c>
      <c r="F140" s="201" t="s">
        <v>385</v>
      </c>
      <c r="G140" s="98"/>
      <c r="H140" s="98"/>
      <c r="I140" s="98"/>
      <c r="J140" s="97" t="s">
        <v>454</v>
      </c>
      <c r="K140" s="64"/>
      <c r="L140" s="64"/>
      <c r="M140" s="64"/>
      <c r="N140" s="64"/>
      <c r="O140" s="97" t="s">
        <v>775</v>
      </c>
      <c r="P140" s="97" t="s">
        <v>775</v>
      </c>
      <c r="Q140" s="97" t="s">
        <v>506</v>
      </c>
      <c r="R140" s="90">
        <v>1</v>
      </c>
      <c r="S140" s="90" t="s">
        <v>493</v>
      </c>
      <c r="T140" s="90">
        <f>IFERROR(VLOOKUP(Q140,'Veicamo darbu apraksts'!$B$2:$D$39,3,FALSE),"")</f>
        <v>15000</v>
      </c>
      <c r="U140" s="94">
        <f t="shared" si="28"/>
        <v>15000</v>
      </c>
      <c r="V140" s="117">
        <v>1500</v>
      </c>
      <c r="W140" s="67">
        <v>1.5</v>
      </c>
      <c r="X140" s="68">
        <v>4</v>
      </c>
      <c r="Y140" s="96">
        <f t="shared" si="32"/>
        <v>108000</v>
      </c>
      <c r="Z140" s="110">
        <f t="shared" si="31"/>
        <v>72000</v>
      </c>
      <c r="AA140" s="105">
        <f t="shared" si="30"/>
        <v>0.1388888888888889</v>
      </c>
      <c r="AB140" s="105">
        <f t="shared" si="19"/>
        <v>0.20833333333333334</v>
      </c>
      <c r="AC140" s="305">
        <v>3</v>
      </c>
    </row>
    <row r="141" spans="1:29" ht="51" customHeight="1">
      <c r="A141" s="93" t="s">
        <v>118</v>
      </c>
      <c r="B141" s="93" t="s">
        <v>118</v>
      </c>
      <c r="C141" s="97" t="s">
        <v>293</v>
      </c>
      <c r="D141" s="97" t="s">
        <v>776</v>
      </c>
      <c r="E141" s="95">
        <v>80250060213</v>
      </c>
      <c r="F141" s="201" t="s">
        <v>385</v>
      </c>
      <c r="G141" s="94" t="s">
        <v>490</v>
      </c>
      <c r="H141" s="94"/>
      <c r="I141" s="94"/>
      <c r="J141" s="97" t="s">
        <v>757</v>
      </c>
      <c r="K141" s="92"/>
      <c r="L141" s="92"/>
      <c r="M141" s="92"/>
      <c r="N141" s="92"/>
      <c r="O141" s="97" t="s">
        <v>777</v>
      </c>
      <c r="P141" s="97" t="s">
        <v>631</v>
      </c>
      <c r="Q141" s="94" t="s">
        <v>568</v>
      </c>
      <c r="R141" s="90">
        <v>15000</v>
      </c>
      <c r="S141" s="90" t="str">
        <f>IFERROR(VLOOKUP(Q141,'Veicamo darbu apraksts'!$B$2:$D$39,2,FALSE),"")</f>
        <v>m2</v>
      </c>
      <c r="T141" s="90">
        <f>IFERROR(VLOOKUP(Q141,'Veicamo darbu apraksts'!$B$2:$D$39,3,FALSE),"")</f>
        <v>50</v>
      </c>
      <c r="U141" s="94">
        <f t="shared" si="28"/>
        <v>750000</v>
      </c>
      <c r="V141" s="117">
        <v>2000</v>
      </c>
      <c r="W141" s="67">
        <v>0.3</v>
      </c>
      <c r="X141" s="68">
        <v>4</v>
      </c>
      <c r="Y141" s="96">
        <f t="shared" si="32"/>
        <v>28800</v>
      </c>
      <c r="Z141" s="110">
        <f t="shared" si="31"/>
        <v>96000</v>
      </c>
      <c r="AA141" s="105">
        <f t="shared" si="30"/>
        <v>26.041666666666668</v>
      </c>
      <c r="AB141" s="105">
        <f t="shared" si="19"/>
        <v>7.8125</v>
      </c>
      <c r="AC141" s="305">
        <v>3</v>
      </c>
    </row>
    <row r="142" spans="1:29" ht="39.6">
      <c r="A142" s="93" t="s">
        <v>119</v>
      </c>
      <c r="B142" s="93" t="s">
        <v>119</v>
      </c>
      <c r="C142" s="97" t="s">
        <v>293</v>
      </c>
      <c r="D142" s="97" t="s">
        <v>778</v>
      </c>
      <c r="E142" s="95">
        <v>80250060258</v>
      </c>
      <c r="F142" s="201" t="s">
        <v>385</v>
      </c>
      <c r="G142" s="94" t="s">
        <v>490</v>
      </c>
      <c r="H142" s="94"/>
      <c r="I142" s="94"/>
      <c r="J142" s="97" t="s">
        <v>520</v>
      </c>
      <c r="K142" s="92"/>
      <c r="L142" s="92"/>
      <c r="M142" s="92"/>
      <c r="N142" s="92"/>
      <c r="O142" s="115" t="s">
        <v>779</v>
      </c>
      <c r="P142" s="97" t="s">
        <v>681</v>
      </c>
      <c r="Q142" s="94" t="s">
        <v>503</v>
      </c>
      <c r="R142" s="90">
        <v>2500</v>
      </c>
      <c r="S142" s="90" t="str">
        <f>IFERROR(VLOOKUP(Q142,'Veicamo darbu apraksts'!$B$2:$D$39,2,FALSE),"")</f>
        <v>m2</v>
      </c>
      <c r="T142" s="90">
        <f>IFERROR(VLOOKUP(Q142,'Veicamo darbu apraksts'!$B$2:$D$39,3,FALSE),"")</f>
        <v>42</v>
      </c>
      <c r="U142" s="94">
        <f t="shared" si="28"/>
        <v>105000</v>
      </c>
      <c r="V142" s="117">
        <v>1500</v>
      </c>
      <c r="W142" s="67">
        <v>0.4</v>
      </c>
      <c r="X142" s="68">
        <v>15</v>
      </c>
      <c r="Y142" s="96">
        <f t="shared" si="32"/>
        <v>108000</v>
      </c>
      <c r="Z142" s="110">
        <f t="shared" si="31"/>
        <v>270000</v>
      </c>
      <c r="AA142" s="105">
        <f t="shared" si="30"/>
        <v>0.97222222222222221</v>
      </c>
      <c r="AB142" s="105">
        <f t="shared" si="19"/>
        <v>0.3888888888888889</v>
      </c>
      <c r="AC142" s="305">
        <v>3</v>
      </c>
    </row>
    <row r="143" spans="1:29" ht="42.75" customHeight="1">
      <c r="A143" s="93" t="s">
        <v>81</v>
      </c>
      <c r="B143" s="93" t="s">
        <v>81</v>
      </c>
      <c r="C143" s="97" t="s">
        <v>293</v>
      </c>
      <c r="D143" s="97" t="s">
        <v>780</v>
      </c>
      <c r="E143" s="95" t="s">
        <v>781</v>
      </c>
      <c r="F143" s="201" t="s">
        <v>385</v>
      </c>
      <c r="G143" s="94" t="s">
        <v>490</v>
      </c>
      <c r="H143" s="94"/>
      <c r="I143" s="94"/>
      <c r="J143" s="97" t="s">
        <v>520</v>
      </c>
      <c r="K143" s="92"/>
      <c r="L143" s="92"/>
      <c r="M143" s="92"/>
      <c r="N143" s="92"/>
      <c r="O143" s="97" t="s">
        <v>782</v>
      </c>
      <c r="P143" s="97" t="s">
        <v>681</v>
      </c>
      <c r="Q143" s="94" t="s">
        <v>503</v>
      </c>
      <c r="R143" s="90">
        <v>900</v>
      </c>
      <c r="S143" s="90" t="str">
        <f>IFERROR(VLOOKUP(Q143,'Veicamo darbu apraksts'!$B$2:$D$39,2,FALSE),"")</f>
        <v>m2</v>
      </c>
      <c r="T143" s="90">
        <f>IFERROR(VLOOKUP(Q143,'Veicamo darbu apraksts'!$B$2:$D$39,3,FALSE),"")</f>
        <v>42</v>
      </c>
      <c r="U143" s="94">
        <f t="shared" si="28"/>
        <v>37800</v>
      </c>
      <c r="V143" s="117">
        <v>500</v>
      </c>
      <c r="W143" s="67">
        <v>0.15</v>
      </c>
      <c r="X143" s="68">
        <v>20</v>
      </c>
      <c r="Y143" s="96">
        <f t="shared" si="32"/>
        <v>18000</v>
      </c>
      <c r="Z143" s="110">
        <f t="shared" si="31"/>
        <v>120000</v>
      </c>
      <c r="AA143" s="105">
        <f t="shared" si="30"/>
        <v>2.1</v>
      </c>
      <c r="AB143" s="105">
        <f t="shared" si="19"/>
        <v>0.315</v>
      </c>
      <c r="AC143" s="305">
        <v>3</v>
      </c>
    </row>
    <row r="144" spans="1:29" ht="37.5" customHeight="1">
      <c r="A144" s="93" t="s">
        <v>82</v>
      </c>
      <c r="B144" s="93" t="s">
        <v>82</v>
      </c>
      <c r="C144" s="97" t="s">
        <v>293</v>
      </c>
      <c r="D144" s="97" t="s">
        <v>783</v>
      </c>
      <c r="E144" s="95" t="s">
        <v>784</v>
      </c>
      <c r="F144" s="201" t="s">
        <v>385</v>
      </c>
      <c r="G144" s="94" t="s">
        <v>490</v>
      </c>
      <c r="H144" s="94"/>
      <c r="I144" s="94"/>
      <c r="J144" s="97" t="s">
        <v>520</v>
      </c>
      <c r="K144" s="92"/>
      <c r="L144" s="92"/>
      <c r="M144" s="92"/>
      <c r="N144" s="92"/>
      <c r="O144" s="97" t="s">
        <v>785</v>
      </c>
      <c r="P144" s="97" t="s">
        <v>786</v>
      </c>
      <c r="Q144" s="94" t="s">
        <v>503</v>
      </c>
      <c r="R144" s="90">
        <v>650</v>
      </c>
      <c r="S144" s="90" t="str">
        <f>IFERROR(VLOOKUP(Q144,'Veicamo darbu apraksts'!$B$2:$D$39,2,FALSE),"")</f>
        <v>m2</v>
      </c>
      <c r="T144" s="90">
        <f>IFERROR(VLOOKUP(Q144,'Veicamo darbu apraksts'!$B$2:$D$39,3,FALSE),"")</f>
        <v>42</v>
      </c>
      <c r="U144" s="94">
        <f t="shared" si="28"/>
        <v>27300</v>
      </c>
      <c r="V144" s="117">
        <v>300</v>
      </c>
      <c r="W144" s="67">
        <v>0.15</v>
      </c>
      <c r="X144" s="68">
        <v>10</v>
      </c>
      <c r="Y144" s="96">
        <f t="shared" si="32"/>
        <v>5400</v>
      </c>
      <c r="Z144" s="110">
        <f t="shared" si="31"/>
        <v>36000</v>
      </c>
      <c r="AA144" s="105">
        <f t="shared" si="30"/>
        <v>5.0555555555555554</v>
      </c>
      <c r="AB144" s="105">
        <f t="shared" si="19"/>
        <v>0.7583333333333333</v>
      </c>
      <c r="AC144" s="305">
        <v>3</v>
      </c>
    </row>
    <row r="145" spans="1:29" ht="54" customHeight="1">
      <c r="A145" s="93" t="s">
        <v>83</v>
      </c>
      <c r="B145" s="93" t="s">
        <v>83</v>
      </c>
      <c r="C145" s="97" t="s">
        <v>293</v>
      </c>
      <c r="D145" s="97" t="s">
        <v>787</v>
      </c>
      <c r="E145" s="95">
        <v>80250060032</v>
      </c>
      <c r="F145" s="201" t="s">
        <v>385</v>
      </c>
      <c r="G145" s="98" t="s">
        <v>386</v>
      </c>
      <c r="H145" s="98"/>
      <c r="I145" s="98"/>
      <c r="J145" s="97" t="s">
        <v>757</v>
      </c>
      <c r="K145" s="64" t="s">
        <v>389</v>
      </c>
      <c r="L145" s="64" t="s">
        <v>395</v>
      </c>
      <c r="M145" s="64" t="s">
        <v>395</v>
      </c>
      <c r="N145" s="64" t="s">
        <v>389</v>
      </c>
      <c r="O145" s="97" t="s">
        <v>788</v>
      </c>
      <c r="P145" s="97" t="s">
        <v>391</v>
      </c>
      <c r="Q145" s="94" t="s">
        <v>391</v>
      </c>
      <c r="R145" s="90">
        <v>500</v>
      </c>
      <c r="S145" s="90" t="str">
        <f>IFERROR(VLOOKUP(Q145,'Veicamo darbu apraksts'!$B$2:$D$39,2,FALSE),"")</f>
        <v>m2</v>
      </c>
      <c r="T145" s="90">
        <f>IFERROR(VLOOKUP(Q145,'Veicamo darbu apraksts'!$B$2:$D$39,3,FALSE),"")</f>
        <v>50</v>
      </c>
      <c r="U145" s="94">
        <f t="shared" si="28"/>
        <v>25000</v>
      </c>
      <c r="V145" s="117">
        <v>500</v>
      </c>
      <c r="W145" s="67">
        <v>0.5</v>
      </c>
      <c r="X145" s="68">
        <v>10</v>
      </c>
      <c r="Y145" s="96">
        <f t="shared" si="32"/>
        <v>30000</v>
      </c>
      <c r="Z145" s="110">
        <f t="shared" si="31"/>
        <v>60000</v>
      </c>
      <c r="AA145" s="105">
        <f t="shared" si="30"/>
        <v>0.83333333333333337</v>
      </c>
      <c r="AB145" s="105">
        <f t="shared" si="19"/>
        <v>0.41666666666666669</v>
      </c>
      <c r="AC145" s="305">
        <v>1</v>
      </c>
    </row>
    <row r="146" spans="1:29" ht="52.9">
      <c r="A146" s="93" t="s">
        <v>84</v>
      </c>
      <c r="B146" s="93" t="s">
        <v>84</v>
      </c>
      <c r="C146" s="97" t="s">
        <v>293</v>
      </c>
      <c r="D146" s="97" t="s">
        <v>789</v>
      </c>
      <c r="E146" s="95">
        <v>80250060032</v>
      </c>
      <c r="F146" s="201" t="s">
        <v>385</v>
      </c>
      <c r="G146" s="98" t="s">
        <v>386</v>
      </c>
      <c r="H146" s="98"/>
      <c r="I146" s="98"/>
      <c r="J146" s="97" t="s">
        <v>388</v>
      </c>
      <c r="K146" s="64" t="s">
        <v>389</v>
      </c>
      <c r="L146" s="64" t="s">
        <v>395</v>
      </c>
      <c r="M146" s="64" t="s">
        <v>395</v>
      </c>
      <c r="N146" s="64" t="s">
        <v>389</v>
      </c>
      <c r="O146" s="97" t="s">
        <v>790</v>
      </c>
      <c r="P146" s="97" t="s">
        <v>391</v>
      </c>
      <c r="Q146" s="94" t="s">
        <v>391</v>
      </c>
      <c r="R146" s="90">
        <v>2500</v>
      </c>
      <c r="S146" s="90" t="str">
        <f>IFERROR(VLOOKUP(Q146,'Veicamo darbu apraksts'!$B$2:$D$39,2,FALSE),"")</f>
        <v>m2</v>
      </c>
      <c r="T146" s="90">
        <f>IFERROR(VLOOKUP(Q146,'Veicamo darbu apraksts'!$B$2:$D$39,3,FALSE),"")</f>
        <v>50</v>
      </c>
      <c r="U146" s="94">
        <f t="shared" si="28"/>
        <v>125000</v>
      </c>
      <c r="V146" s="117">
        <v>200</v>
      </c>
      <c r="W146" s="67">
        <v>0.05</v>
      </c>
      <c r="X146" s="68">
        <v>2</v>
      </c>
      <c r="Y146" s="96">
        <f t="shared" si="32"/>
        <v>240</v>
      </c>
      <c r="Z146" s="110">
        <f t="shared" si="31"/>
        <v>4800</v>
      </c>
      <c r="AA146" s="105">
        <f t="shared" si="30"/>
        <v>520.83333333333337</v>
      </c>
      <c r="AB146" s="105">
        <f t="shared" si="19"/>
        <v>26.041666666666668</v>
      </c>
      <c r="AC146" s="305">
        <v>1</v>
      </c>
    </row>
    <row r="147" spans="1:29" ht="73.900000000000006" customHeight="1">
      <c r="A147" s="93" t="s">
        <v>85</v>
      </c>
      <c r="B147" s="93" t="s">
        <v>85</v>
      </c>
      <c r="C147" s="97" t="s">
        <v>293</v>
      </c>
      <c r="D147" s="97" t="s">
        <v>791</v>
      </c>
      <c r="E147" s="95">
        <v>80250060222</v>
      </c>
      <c r="F147" s="201" t="s">
        <v>385</v>
      </c>
      <c r="G147" s="98" t="s">
        <v>386</v>
      </c>
      <c r="H147" s="98"/>
      <c r="I147" s="98"/>
      <c r="J147" s="97" t="s">
        <v>757</v>
      </c>
      <c r="K147" s="92"/>
      <c r="L147" s="92"/>
      <c r="M147" s="92"/>
      <c r="N147" s="92"/>
      <c r="O147" s="97" t="s">
        <v>792</v>
      </c>
      <c r="P147" s="97" t="s">
        <v>391</v>
      </c>
      <c r="Q147" s="94" t="s">
        <v>391</v>
      </c>
      <c r="R147" s="90">
        <v>500</v>
      </c>
      <c r="S147" s="90" t="str">
        <f>IFERROR(VLOOKUP(Q147,'Veicamo darbu apraksts'!$B$2:$D$39,2,FALSE),"")</f>
        <v>m2</v>
      </c>
      <c r="T147" s="90">
        <f>IFERROR(VLOOKUP(Q147,'Veicamo darbu apraksts'!$B$2:$D$39,3,FALSE),"")</f>
        <v>50</v>
      </c>
      <c r="U147" s="94">
        <f t="shared" si="28"/>
        <v>25000</v>
      </c>
      <c r="V147" s="117">
        <v>400</v>
      </c>
      <c r="W147" s="67">
        <v>0.5</v>
      </c>
      <c r="X147" s="68">
        <v>10</v>
      </c>
      <c r="Y147" s="96">
        <f t="shared" si="32"/>
        <v>24000</v>
      </c>
      <c r="Z147" s="110">
        <f t="shared" si="31"/>
        <v>48000</v>
      </c>
      <c r="AA147" s="105">
        <f t="shared" si="30"/>
        <v>1.0416666666666667</v>
      </c>
      <c r="AB147" s="105">
        <f t="shared" si="19"/>
        <v>0.52083333333333337</v>
      </c>
      <c r="AC147" s="305">
        <v>7</v>
      </c>
    </row>
    <row r="148" spans="1:29" ht="77.650000000000006" customHeight="1">
      <c r="A148" s="93" t="s">
        <v>86</v>
      </c>
      <c r="B148" s="93" t="s">
        <v>86</v>
      </c>
      <c r="C148" s="97" t="s">
        <v>293</v>
      </c>
      <c r="D148" s="97" t="s">
        <v>793</v>
      </c>
      <c r="E148" s="95">
        <v>80050011610</v>
      </c>
      <c r="F148" s="201" t="s">
        <v>385</v>
      </c>
      <c r="G148" s="94" t="s">
        <v>490</v>
      </c>
      <c r="H148" s="94"/>
      <c r="I148" s="94"/>
      <c r="J148" s="97" t="s">
        <v>520</v>
      </c>
      <c r="K148" s="92"/>
      <c r="L148" s="92"/>
      <c r="M148" s="92"/>
      <c r="N148" s="92"/>
      <c r="O148" s="97" t="s">
        <v>794</v>
      </c>
      <c r="P148" s="97" t="s">
        <v>795</v>
      </c>
      <c r="Q148" s="94" t="s">
        <v>423</v>
      </c>
      <c r="R148" s="90">
        <v>4</v>
      </c>
      <c r="S148" s="90" t="str">
        <f>IFERROR(VLOOKUP(Q148,'Veicamo darbu apraksts'!$B$2:$D$39,2,FALSE),"")</f>
        <v>gab.</v>
      </c>
      <c r="T148" s="90">
        <f>IFERROR(VLOOKUP(Q148,'Veicamo darbu apraksts'!$B$2:$D$39,3,FALSE),"")</f>
        <v>2765</v>
      </c>
      <c r="U148" s="94">
        <f t="shared" si="28"/>
        <v>11060</v>
      </c>
      <c r="V148" s="117">
        <v>600</v>
      </c>
      <c r="W148" s="67">
        <v>0.25</v>
      </c>
      <c r="X148" s="68">
        <v>15</v>
      </c>
      <c r="Y148" s="96">
        <f t="shared" si="32"/>
        <v>27000</v>
      </c>
      <c r="Z148" s="110">
        <f t="shared" si="31"/>
        <v>108000</v>
      </c>
      <c r="AA148" s="105">
        <f t="shared" si="30"/>
        <v>0.40962962962962962</v>
      </c>
      <c r="AB148" s="105">
        <f t="shared" si="19"/>
        <v>0.10240740740740741</v>
      </c>
      <c r="AC148" s="305">
        <v>1</v>
      </c>
    </row>
    <row r="149" spans="1:29" ht="102.4" customHeight="1">
      <c r="A149" s="93" t="s">
        <v>87</v>
      </c>
      <c r="B149" s="93" t="s">
        <v>87</v>
      </c>
      <c r="C149" s="97" t="s">
        <v>293</v>
      </c>
      <c r="D149" s="97" t="s">
        <v>796</v>
      </c>
      <c r="E149" s="95">
        <v>80050010223</v>
      </c>
      <c r="F149" s="201" t="s">
        <v>385</v>
      </c>
      <c r="G149" s="94" t="s">
        <v>386</v>
      </c>
      <c r="H149" s="94"/>
      <c r="I149" s="94"/>
      <c r="J149" s="97" t="s">
        <v>757</v>
      </c>
      <c r="K149" s="64" t="s">
        <v>395</v>
      </c>
      <c r="L149" s="64" t="s">
        <v>395</v>
      </c>
      <c r="M149" s="64" t="s">
        <v>389</v>
      </c>
      <c r="N149" s="64" t="s">
        <v>395</v>
      </c>
      <c r="O149" s="97" t="s">
        <v>797</v>
      </c>
      <c r="P149" s="97" t="s">
        <v>391</v>
      </c>
      <c r="Q149" s="94" t="s">
        <v>391</v>
      </c>
      <c r="R149" s="90">
        <v>10000</v>
      </c>
      <c r="S149" s="90" t="str">
        <f>IFERROR(VLOOKUP(Q149,'Veicamo darbu apraksts'!$B$2:$D$39,2,FALSE),"")</f>
        <v>m2</v>
      </c>
      <c r="T149" s="90">
        <f>IFERROR(VLOOKUP(Q149,'Veicamo darbu apraksts'!$B$2:$D$39,3,FALSE),"")</f>
        <v>50</v>
      </c>
      <c r="U149" s="94">
        <f t="shared" si="28"/>
        <v>500000</v>
      </c>
      <c r="V149" s="117">
        <v>1000</v>
      </c>
      <c r="W149" s="67">
        <v>0.5</v>
      </c>
      <c r="X149" s="68">
        <v>20</v>
      </c>
      <c r="Y149" s="96">
        <f t="shared" si="32"/>
        <v>120000</v>
      </c>
      <c r="Z149" s="110">
        <f t="shared" si="31"/>
        <v>240000</v>
      </c>
      <c r="AA149" s="105">
        <f t="shared" si="30"/>
        <v>4.166666666666667</v>
      </c>
      <c r="AB149" s="105">
        <f t="shared" si="19"/>
        <v>2.0833333333333335</v>
      </c>
      <c r="AC149" s="305">
        <v>7</v>
      </c>
    </row>
    <row r="150" spans="1:29" ht="39.6">
      <c r="A150" s="93" t="s">
        <v>88</v>
      </c>
      <c r="B150" s="93" t="s">
        <v>88</v>
      </c>
      <c r="C150" s="97" t="s">
        <v>293</v>
      </c>
      <c r="D150" s="97" t="s">
        <v>798</v>
      </c>
      <c r="E150" s="95">
        <v>80050010197</v>
      </c>
      <c r="F150" s="201" t="s">
        <v>385</v>
      </c>
      <c r="G150" s="94" t="s">
        <v>490</v>
      </c>
      <c r="H150" s="94"/>
      <c r="I150" s="94"/>
      <c r="J150" s="97" t="s">
        <v>520</v>
      </c>
      <c r="K150" s="64"/>
      <c r="L150" s="64"/>
      <c r="M150" s="64"/>
      <c r="N150" s="64"/>
      <c r="O150" s="97" t="s">
        <v>799</v>
      </c>
      <c r="P150" s="94" t="s">
        <v>423</v>
      </c>
      <c r="Q150" s="94" t="s">
        <v>423</v>
      </c>
      <c r="R150" s="90">
        <v>2</v>
      </c>
      <c r="S150" s="90" t="str">
        <f>IFERROR(VLOOKUP(Q150,'Veicamo darbu apraksts'!$B$2:$D$39,2,FALSE),"")</f>
        <v>gab.</v>
      </c>
      <c r="T150" s="90">
        <f>IFERROR(VLOOKUP(Q150,'Veicamo darbu apraksts'!$B$2:$D$39,3,FALSE),"")</f>
        <v>2765</v>
      </c>
      <c r="U150" s="94">
        <f t="shared" si="28"/>
        <v>5530</v>
      </c>
      <c r="V150" s="117">
        <v>200</v>
      </c>
      <c r="W150" s="67">
        <v>0.1</v>
      </c>
      <c r="X150" s="68">
        <v>10</v>
      </c>
      <c r="Y150" s="96">
        <f t="shared" si="32"/>
        <v>2400</v>
      </c>
      <c r="Z150" s="110">
        <f t="shared" si="31"/>
        <v>24000</v>
      </c>
      <c r="AA150" s="105">
        <f t="shared" si="30"/>
        <v>2.3041666666666667</v>
      </c>
      <c r="AB150" s="105">
        <f t="shared" si="19"/>
        <v>0.23041666666666666</v>
      </c>
      <c r="AC150" s="305">
        <v>1</v>
      </c>
    </row>
    <row r="151" spans="1:29" ht="38.65" customHeight="1">
      <c r="A151" s="93" t="s">
        <v>89</v>
      </c>
      <c r="B151" s="93" t="s">
        <v>89</v>
      </c>
      <c r="C151" s="97" t="s">
        <v>293</v>
      </c>
      <c r="D151" s="115" t="s">
        <v>800</v>
      </c>
      <c r="E151" s="95">
        <v>80050010150</v>
      </c>
      <c r="F151" s="201" t="s">
        <v>385</v>
      </c>
      <c r="G151" s="98" t="s">
        <v>386</v>
      </c>
      <c r="H151" s="98"/>
      <c r="I151" s="98"/>
      <c r="J151" s="97" t="s">
        <v>757</v>
      </c>
      <c r="K151" s="64" t="s">
        <v>395</v>
      </c>
      <c r="L151" s="64" t="s">
        <v>395</v>
      </c>
      <c r="M151" s="64" t="s">
        <v>404</v>
      </c>
      <c r="N151" s="64" t="s">
        <v>395</v>
      </c>
      <c r="O151" s="97" t="s">
        <v>801</v>
      </c>
      <c r="P151" s="97" t="s">
        <v>391</v>
      </c>
      <c r="Q151" s="94" t="s">
        <v>391</v>
      </c>
      <c r="R151" s="90">
        <v>15000</v>
      </c>
      <c r="S151" s="90" t="str">
        <f>IFERROR(VLOOKUP(Q151,'Veicamo darbu apraksts'!$B$2:$D$39,2,FALSE),"")</f>
        <v>m2</v>
      </c>
      <c r="T151" s="90">
        <f>IFERROR(VLOOKUP(Q151,'Veicamo darbu apraksts'!$B$2:$D$39,3,FALSE),"")</f>
        <v>50</v>
      </c>
      <c r="U151" s="94">
        <f t="shared" si="28"/>
        <v>750000</v>
      </c>
      <c r="V151" s="117">
        <v>500</v>
      </c>
      <c r="W151" s="67">
        <v>0.4</v>
      </c>
      <c r="X151" s="68">
        <v>1</v>
      </c>
      <c r="Y151" s="96">
        <f t="shared" si="32"/>
        <v>2400</v>
      </c>
      <c r="Z151" s="110">
        <f t="shared" si="31"/>
        <v>6000</v>
      </c>
      <c r="AA151" s="105">
        <f t="shared" si="30"/>
        <v>312.5</v>
      </c>
      <c r="AB151" s="105">
        <f t="shared" si="19"/>
        <v>125</v>
      </c>
      <c r="AC151" s="305">
        <v>7</v>
      </c>
    </row>
    <row r="152" spans="1:29" ht="39.6">
      <c r="A152" s="93" t="s">
        <v>90</v>
      </c>
      <c r="B152" s="93" t="s">
        <v>90</v>
      </c>
      <c r="C152" s="97" t="s">
        <v>339</v>
      </c>
      <c r="D152" s="97" t="s">
        <v>802</v>
      </c>
      <c r="E152" s="95">
        <v>80250040121</v>
      </c>
      <c r="F152" s="201" t="s">
        <v>385</v>
      </c>
      <c r="G152" s="98" t="s">
        <v>386</v>
      </c>
      <c r="H152" s="98"/>
      <c r="I152" s="98"/>
      <c r="J152" s="97" t="s">
        <v>757</v>
      </c>
      <c r="K152" s="64" t="s">
        <v>395</v>
      </c>
      <c r="L152" s="64" t="s">
        <v>395</v>
      </c>
      <c r="M152" s="64" t="s">
        <v>389</v>
      </c>
      <c r="N152" s="64" t="s">
        <v>395</v>
      </c>
      <c r="O152" s="97" t="s">
        <v>803</v>
      </c>
      <c r="P152" s="97" t="s">
        <v>391</v>
      </c>
      <c r="Q152" s="94" t="s">
        <v>391</v>
      </c>
      <c r="R152" s="90">
        <v>8000</v>
      </c>
      <c r="S152" s="90" t="str">
        <f>IFERROR(VLOOKUP(Q152,'Veicamo darbu apraksts'!$B$2:$D$39,2,FALSE),"")</f>
        <v>m2</v>
      </c>
      <c r="T152" s="90">
        <f>IFERROR(VLOOKUP(Q152,'Veicamo darbu apraksts'!$B$2:$D$39,3,FALSE),"")</f>
        <v>50</v>
      </c>
      <c r="U152" s="94">
        <f t="shared" si="28"/>
        <v>400000</v>
      </c>
      <c r="V152" s="117">
        <v>1000</v>
      </c>
      <c r="W152" s="67">
        <v>0.1</v>
      </c>
      <c r="X152" s="68">
        <v>0.5</v>
      </c>
      <c r="Y152" s="96">
        <f t="shared" si="32"/>
        <v>600</v>
      </c>
      <c r="Z152" s="110">
        <f t="shared" si="31"/>
        <v>6000</v>
      </c>
      <c r="AA152" s="105">
        <f t="shared" si="30"/>
        <v>666.66666666666663</v>
      </c>
      <c r="AB152" s="105">
        <f t="shared" si="19"/>
        <v>66.666666666666671</v>
      </c>
      <c r="AC152" s="305">
        <v>1</v>
      </c>
    </row>
    <row r="153" spans="1:29" ht="39.6">
      <c r="A153" s="93" t="s">
        <v>92</v>
      </c>
      <c r="B153" s="93" t="s">
        <v>92</v>
      </c>
      <c r="C153" s="97" t="s">
        <v>339</v>
      </c>
      <c r="D153" s="97" t="s">
        <v>804</v>
      </c>
      <c r="E153" s="95">
        <v>80250040153</v>
      </c>
      <c r="F153" s="201" t="s">
        <v>385</v>
      </c>
      <c r="G153" s="98" t="s">
        <v>386</v>
      </c>
      <c r="H153" s="98"/>
      <c r="I153" s="98"/>
      <c r="J153" s="97" t="s">
        <v>520</v>
      </c>
      <c r="K153" s="92"/>
      <c r="L153" s="92"/>
      <c r="M153" s="92"/>
      <c r="N153" s="92"/>
      <c r="O153" s="97" t="s">
        <v>805</v>
      </c>
      <c r="P153" s="97" t="s">
        <v>391</v>
      </c>
      <c r="Q153" s="94" t="s">
        <v>391</v>
      </c>
      <c r="R153" s="90">
        <v>450</v>
      </c>
      <c r="S153" s="90" t="str">
        <f>IFERROR(VLOOKUP(Q153,'Veicamo darbu apraksts'!$B$2:$D$39,2,FALSE),"")</f>
        <v>m2</v>
      </c>
      <c r="T153" s="90">
        <f>IFERROR(VLOOKUP(Q153,'Veicamo darbu apraksts'!$B$2:$D$39,3,FALSE),"")</f>
        <v>50</v>
      </c>
      <c r="U153" s="94">
        <f t="shared" si="28"/>
        <v>22500</v>
      </c>
      <c r="V153" s="117">
        <v>1000</v>
      </c>
      <c r="W153" s="67">
        <v>0.02</v>
      </c>
      <c r="X153" s="68">
        <v>0.5</v>
      </c>
      <c r="Y153" s="96">
        <f t="shared" si="32"/>
        <v>120</v>
      </c>
      <c r="Z153" s="110">
        <f t="shared" si="31"/>
        <v>6000</v>
      </c>
      <c r="AA153" s="105">
        <f t="shared" si="30"/>
        <v>187.5</v>
      </c>
      <c r="AB153" s="105">
        <f t="shared" si="19"/>
        <v>3.75</v>
      </c>
      <c r="AC153" s="305">
        <v>3</v>
      </c>
    </row>
    <row r="154" spans="1:29" ht="39.6">
      <c r="A154" s="93" t="s">
        <v>93</v>
      </c>
      <c r="B154" s="93" t="s">
        <v>93</v>
      </c>
      <c r="C154" s="97" t="s">
        <v>806</v>
      </c>
      <c r="D154" s="115" t="s">
        <v>807</v>
      </c>
      <c r="E154" s="95">
        <v>80250090227</v>
      </c>
      <c r="F154" s="201" t="s">
        <v>518</v>
      </c>
      <c r="G154" s="98" t="s">
        <v>386</v>
      </c>
      <c r="H154" s="98"/>
      <c r="I154" s="98"/>
      <c r="J154" s="97" t="s">
        <v>762</v>
      </c>
      <c r="K154" s="92"/>
      <c r="L154" s="92"/>
      <c r="M154" s="92"/>
      <c r="N154" s="92"/>
      <c r="O154" s="97" t="s">
        <v>808</v>
      </c>
      <c r="P154" s="94" t="s">
        <v>423</v>
      </c>
      <c r="Q154" s="94" t="s">
        <v>423</v>
      </c>
      <c r="R154" s="90">
        <v>2</v>
      </c>
      <c r="S154" s="90" t="str">
        <f>IFERROR(VLOOKUP(Q154,'Veicamo darbu apraksts'!$B$2:$D$39,2,FALSE),"")</f>
        <v>gab.</v>
      </c>
      <c r="T154" s="90">
        <f>IFERROR(VLOOKUP(Q154,'Veicamo darbu apraksts'!$B$2:$D$39,3,FALSE),"")</f>
        <v>2765</v>
      </c>
      <c r="U154" s="94">
        <f t="shared" si="28"/>
        <v>5530</v>
      </c>
      <c r="V154" s="117">
        <v>20</v>
      </c>
      <c r="W154" s="67">
        <v>0.1</v>
      </c>
      <c r="X154" s="68">
        <v>5</v>
      </c>
      <c r="Y154" s="96">
        <f t="shared" si="32"/>
        <v>120</v>
      </c>
      <c r="Z154" s="110">
        <f t="shared" si="31"/>
        <v>1200</v>
      </c>
      <c r="AA154" s="105">
        <f t="shared" si="30"/>
        <v>46.083333333333336</v>
      </c>
      <c r="AB154" s="105">
        <f t="shared" si="19"/>
        <v>4.6083333333333334</v>
      </c>
      <c r="AC154" s="305">
        <v>1</v>
      </c>
    </row>
    <row r="155" spans="1:29" ht="27">
      <c r="A155" s="93" t="s">
        <v>94</v>
      </c>
      <c r="B155" s="93" t="s">
        <v>94</v>
      </c>
      <c r="C155" s="97" t="s">
        <v>806</v>
      </c>
      <c r="D155" s="115" t="s">
        <v>809</v>
      </c>
      <c r="E155" s="95">
        <v>80250060449</v>
      </c>
      <c r="F155" s="201" t="s">
        <v>518</v>
      </c>
      <c r="G155" s="98" t="s">
        <v>386</v>
      </c>
      <c r="H155" s="98"/>
      <c r="I155" s="98"/>
      <c r="J155" s="97" t="s">
        <v>762</v>
      </c>
      <c r="K155" s="92"/>
      <c r="L155" s="92"/>
      <c r="M155" s="92"/>
      <c r="N155" s="92"/>
      <c r="O155" s="97" t="s">
        <v>810</v>
      </c>
      <c r="P155" s="94" t="s">
        <v>764</v>
      </c>
      <c r="Q155" s="94" t="s">
        <v>764</v>
      </c>
      <c r="R155" s="90">
        <v>2</v>
      </c>
      <c r="S155" s="90" t="str">
        <f>IFERROR(VLOOKUP(Q155,'Veicamo darbu apraksts'!$B$2:$D$39,2,FALSE),"")</f>
        <v>gab.</v>
      </c>
      <c r="T155" s="90">
        <f>IFERROR(VLOOKUP(Q155,'Veicamo darbu apraksts'!$B$2:$D$39,3,FALSE),"")</f>
        <v>6890</v>
      </c>
      <c r="U155" s="94">
        <f t="shared" si="28"/>
        <v>13780</v>
      </c>
      <c r="V155" s="117">
        <v>200</v>
      </c>
      <c r="W155" s="67">
        <v>0.1</v>
      </c>
      <c r="X155" s="68">
        <v>15</v>
      </c>
      <c r="Y155" s="96">
        <f t="shared" si="32"/>
        <v>3600</v>
      </c>
      <c r="Z155" s="110">
        <f t="shared" si="31"/>
        <v>36000</v>
      </c>
      <c r="AA155" s="105">
        <f t="shared" si="30"/>
        <v>3.8277777777777779</v>
      </c>
      <c r="AB155" s="105">
        <f t="shared" si="19"/>
        <v>0.38277777777777777</v>
      </c>
      <c r="AC155" s="305">
        <v>1</v>
      </c>
    </row>
    <row r="156" spans="1:29" ht="27.4" customHeight="1">
      <c r="A156" s="93" t="s">
        <v>95</v>
      </c>
      <c r="B156" s="93" t="s">
        <v>95</v>
      </c>
      <c r="C156" s="97" t="s">
        <v>335</v>
      </c>
      <c r="D156" s="214" t="s">
        <v>811</v>
      </c>
      <c r="E156" s="95">
        <v>80250080236</v>
      </c>
      <c r="F156" s="201" t="s">
        <v>518</v>
      </c>
      <c r="G156" s="98" t="s">
        <v>386</v>
      </c>
      <c r="H156" s="98"/>
      <c r="I156" s="98"/>
      <c r="J156" s="97" t="s">
        <v>762</v>
      </c>
      <c r="K156" s="92"/>
      <c r="L156" s="92"/>
      <c r="M156" s="92"/>
      <c r="N156" s="92"/>
      <c r="O156" s="97" t="s">
        <v>812</v>
      </c>
      <c r="P156" s="94" t="s">
        <v>764</v>
      </c>
      <c r="Q156" s="94" t="s">
        <v>764</v>
      </c>
      <c r="R156" s="90">
        <v>2</v>
      </c>
      <c r="S156" s="90" t="str">
        <f>IFERROR(VLOOKUP(Q156,'Veicamo darbu apraksts'!$B$2:$D$39,2,FALSE),"")</f>
        <v>gab.</v>
      </c>
      <c r="T156" s="90">
        <f>IFERROR(VLOOKUP(Q156,'Veicamo darbu apraksts'!$B$2:$D$39,3,FALSE),"")</f>
        <v>6890</v>
      </c>
      <c r="U156" s="94">
        <f t="shared" si="28"/>
        <v>13780</v>
      </c>
      <c r="V156" s="117">
        <v>100</v>
      </c>
      <c r="W156" s="67">
        <v>0.15</v>
      </c>
      <c r="X156" s="68">
        <v>20</v>
      </c>
      <c r="Y156" s="96">
        <f t="shared" si="32"/>
        <v>3600</v>
      </c>
      <c r="Z156" s="110">
        <f t="shared" si="31"/>
        <v>24000</v>
      </c>
      <c r="AA156" s="105">
        <f t="shared" si="30"/>
        <v>3.8277777777777779</v>
      </c>
      <c r="AB156" s="105">
        <f t="shared" si="19"/>
        <v>0.57416666666666671</v>
      </c>
      <c r="AC156" s="305">
        <v>1</v>
      </c>
    </row>
    <row r="157" spans="1:29" ht="45.75" customHeight="1">
      <c r="A157" s="93" t="s">
        <v>96</v>
      </c>
      <c r="B157" s="93" t="s">
        <v>96</v>
      </c>
      <c r="C157" s="97" t="s">
        <v>293</v>
      </c>
      <c r="D157" s="97" t="s">
        <v>813</v>
      </c>
      <c r="E157" s="95" t="s">
        <v>814</v>
      </c>
      <c r="F157" s="201" t="s">
        <v>385</v>
      </c>
      <c r="G157" s="94" t="s">
        <v>490</v>
      </c>
      <c r="H157" s="94"/>
      <c r="I157" s="94"/>
      <c r="J157" s="97" t="s">
        <v>520</v>
      </c>
      <c r="K157" s="92"/>
      <c r="L157" s="92"/>
      <c r="M157" s="92"/>
      <c r="N157" s="92"/>
      <c r="O157" s="97" t="s">
        <v>815</v>
      </c>
      <c r="P157" s="97" t="s">
        <v>681</v>
      </c>
      <c r="Q157" s="94" t="s">
        <v>503</v>
      </c>
      <c r="R157" s="90">
        <v>1000</v>
      </c>
      <c r="S157" s="90" t="str">
        <f>IFERROR(VLOOKUP(Q157,'Veicamo darbu apraksts'!$B$2:$D$39,2,FALSE),"")</f>
        <v>m2</v>
      </c>
      <c r="T157" s="90">
        <f>IFERROR(VLOOKUP(Q157,'Veicamo darbu apraksts'!$B$2:$D$39,3,FALSE),"")</f>
        <v>42</v>
      </c>
      <c r="U157" s="94">
        <f t="shared" si="28"/>
        <v>42000</v>
      </c>
      <c r="V157" s="117">
        <v>50</v>
      </c>
      <c r="W157" s="67">
        <v>0.2</v>
      </c>
      <c r="X157" s="68">
        <v>5</v>
      </c>
      <c r="Y157" s="96">
        <f t="shared" si="32"/>
        <v>600</v>
      </c>
      <c r="Z157" s="110">
        <f t="shared" si="31"/>
        <v>3000</v>
      </c>
      <c r="AA157" s="105">
        <f t="shared" si="30"/>
        <v>70</v>
      </c>
      <c r="AB157" s="105">
        <f t="shared" si="19"/>
        <v>14</v>
      </c>
      <c r="AC157" s="305">
        <v>3</v>
      </c>
    </row>
    <row r="158" spans="1:29" ht="48" customHeight="1">
      <c r="A158" s="93" t="s">
        <v>97</v>
      </c>
      <c r="B158" s="93" t="s">
        <v>97</v>
      </c>
      <c r="C158" s="97" t="s">
        <v>293</v>
      </c>
      <c r="D158" s="97" t="s">
        <v>816</v>
      </c>
      <c r="E158" s="95">
        <v>80050011552</v>
      </c>
      <c r="F158" s="201" t="s">
        <v>385</v>
      </c>
      <c r="G158" s="94" t="s">
        <v>490</v>
      </c>
      <c r="H158" s="94"/>
      <c r="I158" s="94"/>
      <c r="J158" s="97" t="s">
        <v>520</v>
      </c>
      <c r="K158" s="92"/>
      <c r="L158" s="92"/>
      <c r="M158" s="92"/>
      <c r="N158" s="92"/>
      <c r="O158" s="97" t="s">
        <v>817</v>
      </c>
      <c r="P158" s="97" t="s">
        <v>818</v>
      </c>
      <c r="Q158" s="94" t="s">
        <v>503</v>
      </c>
      <c r="R158" s="90">
        <v>1000</v>
      </c>
      <c r="S158" s="90" t="str">
        <f>IFERROR(VLOOKUP(Q158,'Veicamo darbu apraksts'!$B$2:$D$39,2,FALSE),"")</f>
        <v>m2</v>
      </c>
      <c r="T158" s="90">
        <f>IFERROR(VLOOKUP(Q158,'Veicamo darbu apraksts'!$B$2:$D$39,3,FALSE),"")</f>
        <v>42</v>
      </c>
      <c r="U158" s="94">
        <f t="shared" si="28"/>
        <v>42000</v>
      </c>
      <c r="V158" s="117">
        <v>2500</v>
      </c>
      <c r="W158" s="67">
        <v>0.05</v>
      </c>
      <c r="X158" s="68">
        <v>20</v>
      </c>
      <c r="Y158" s="96">
        <f t="shared" si="32"/>
        <v>30000</v>
      </c>
      <c r="Z158" s="110">
        <f t="shared" si="31"/>
        <v>600000</v>
      </c>
      <c r="AA158" s="105">
        <f t="shared" si="30"/>
        <v>1.4</v>
      </c>
      <c r="AB158" s="105">
        <f t="shared" si="19"/>
        <v>7.0000000000000007E-2</v>
      </c>
      <c r="AC158" s="305">
        <v>3</v>
      </c>
    </row>
    <row r="159" spans="1:29" ht="66">
      <c r="A159" s="93" t="s">
        <v>98</v>
      </c>
      <c r="B159" s="93" t="s">
        <v>98</v>
      </c>
      <c r="C159" s="97" t="s">
        <v>293</v>
      </c>
      <c r="D159" s="118" t="s">
        <v>819</v>
      </c>
      <c r="E159" s="95">
        <v>80050011608</v>
      </c>
      <c r="F159" s="201" t="s">
        <v>385</v>
      </c>
      <c r="G159" s="94" t="s">
        <v>490</v>
      </c>
      <c r="H159" s="94"/>
      <c r="I159" s="94"/>
      <c r="J159" s="97" t="s">
        <v>757</v>
      </c>
      <c r="K159" s="92"/>
      <c r="L159" s="92"/>
      <c r="M159" s="92"/>
      <c r="N159" s="92"/>
      <c r="O159" s="97" t="s">
        <v>820</v>
      </c>
      <c r="P159" s="97" t="s">
        <v>631</v>
      </c>
      <c r="Q159" s="94" t="s">
        <v>568</v>
      </c>
      <c r="R159" s="90">
        <v>6000</v>
      </c>
      <c r="S159" s="90" t="str">
        <f>IFERROR(VLOOKUP(Q159,'Veicamo darbu apraksts'!$B$2:$D$39,2,FALSE),"")</f>
        <v>m2</v>
      </c>
      <c r="T159" s="90">
        <f>IFERROR(VLOOKUP(Q159,'Veicamo darbu apraksts'!$B$2:$D$39,3,FALSE),"")</f>
        <v>50</v>
      </c>
      <c r="U159" s="94">
        <f t="shared" si="28"/>
        <v>300000</v>
      </c>
      <c r="V159" s="117">
        <v>1000</v>
      </c>
      <c r="W159" s="67">
        <v>0.4</v>
      </c>
      <c r="X159" s="68">
        <v>15</v>
      </c>
      <c r="Y159" s="96">
        <f t="shared" si="32"/>
        <v>72000</v>
      </c>
      <c r="Z159" s="110">
        <f t="shared" si="31"/>
        <v>180000</v>
      </c>
      <c r="AA159" s="105">
        <f t="shared" si="30"/>
        <v>4.166666666666667</v>
      </c>
      <c r="AB159" s="105">
        <f t="shared" si="19"/>
        <v>1.6666666666666667</v>
      </c>
      <c r="AC159" s="305">
        <v>7</v>
      </c>
    </row>
    <row r="160" spans="1:29" ht="52.9">
      <c r="A160" s="93" t="s">
        <v>99</v>
      </c>
      <c r="B160" s="93" t="s">
        <v>99</v>
      </c>
      <c r="C160" s="97" t="s">
        <v>293</v>
      </c>
      <c r="D160" s="118" t="s">
        <v>821</v>
      </c>
      <c r="E160" s="95">
        <v>80050010040</v>
      </c>
      <c r="F160" s="201" t="s">
        <v>385</v>
      </c>
      <c r="G160" s="98" t="s">
        <v>386</v>
      </c>
      <c r="H160" s="98"/>
      <c r="I160" s="98"/>
      <c r="J160" s="97" t="s">
        <v>757</v>
      </c>
      <c r="K160" s="64" t="s">
        <v>404</v>
      </c>
      <c r="L160" s="64" t="s">
        <v>395</v>
      </c>
      <c r="M160" s="64" t="s">
        <v>404</v>
      </c>
      <c r="N160" s="64" t="s">
        <v>395</v>
      </c>
      <c r="O160" s="97" t="s">
        <v>822</v>
      </c>
      <c r="P160" s="94" t="s">
        <v>406</v>
      </c>
      <c r="Q160" s="94" t="s">
        <v>391</v>
      </c>
      <c r="R160" s="90">
        <v>800</v>
      </c>
      <c r="S160" s="90" t="str">
        <f>IFERROR(VLOOKUP(Q160,'Veicamo darbu apraksts'!$B$2:$D$39,2,FALSE),"")</f>
        <v>m2</v>
      </c>
      <c r="T160" s="90">
        <f>IFERROR(VLOOKUP(Q160,'Veicamo darbu apraksts'!$B$2:$D$39,3,FALSE),"")</f>
        <v>50</v>
      </c>
      <c r="U160" s="94">
        <f t="shared" si="28"/>
        <v>40000</v>
      </c>
      <c r="V160" s="117">
        <v>300</v>
      </c>
      <c r="W160" s="67">
        <v>0.3</v>
      </c>
      <c r="X160" s="68">
        <v>5</v>
      </c>
      <c r="Y160" s="96">
        <f t="shared" si="32"/>
        <v>5400</v>
      </c>
      <c r="Z160" s="110">
        <f t="shared" si="31"/>
        <v>18000</v>
      </c>
      <c r="AA160" s="105">
        <f t="shared" si="30"/>
        <v>7.4074074074074074</v>
      </c>
      <c r="AB160" s="105">
        <f t="shared" si="19"/>
        <v>2.2222222222222223</v>
      </c>
      <c r="AC160" s="305">
        <v>1</v>
      </c>
    </row>
    <row r="161" spans="1:29" ht="39.6">
      <c r="A161" s="93" t="s">
        <v>100</v>
      </c>
      <c r="B161" s="93" t="s">
        <v>100</v>
      </c>
      <c r="C161" s="97" t="s">
        <v>293</v>
      </c>
      <c r="D161" s="118" t="s">
        <v>823</v>
      </c>
      <c r="E161" s="95">
        <v>80250060065</v>
      </c>
      <c r="F161" s="201" t="s">
        <v>385</v>
      </c>
      <c r="G161" s="98" t="s">
        <v>386</v>
      </c>
      <c r="H161" s="98"/>
      <c r="I161" s="98"/>
      <c r="J161" s="97" t="s">
        <v>757</v>
      </c>
      <c r="K161" s="64" t="s">
        <v>395</v>
      </c>
      <c r="L161" s="64" t="s">
        <v>395</v>
      </c>
      <c r="M161" s="64" t="s">
        <v>395</v>
      </c>
      <c r="N161" s="64" t="s">
        <v>395</v>
      </c>
      <c r="O161" s="97" t="s">
        <v>824</v>
      </c>
      <c r="P161" s="94" t="s">
        <v>406</v>
      </c>
      <c r="Q161" s="97" t="s">
        <v>825</v>
      </c>
      <c r="R161" s="90">
        <v>1</v>
      </c>
      <c r="S161" s="124" t="s">
        <v>493</v>
      </c>
      <c r="T161" s="90">
        <f>'Veicamo darbu apraksts'!D5+'Veicamo darbu apraksts'!D13</f>
        <v>50</v>
      </c>
      <c r="U161" s="195">
        <f t="shared" si="28"/>
        <v>50</v>
      </c>
      <c r="V161" s="117">
        <v>3000</v>
      </c>
      <c r="W161" s="67">
        <v>1.5</v>
      </c>
      <c r="X161" s="68">
        <v>0.5</v>
      </c>
      <c r="Y161" s="96">
        <f t="shared" si="32"/>
        <v>27000</v>
      </c>
      <c r="Z161" s="110">
        <f>V161*X161*12</f>
        <v>18000</v>
      </c>
      <c r="AA161" s="105">
        <f t="shared" si="30"/>
        <v>1.8518518518518519E-3</v>
      </c>
      <c r="AB161" s="105">
        <f t="shared" si="19"/>
        <v>2.7777777777777779E-3</v>
      </c>
      <c r="AC161" s="305">
        <v>7</v>
      </c>
    </row>
    <row r="162" spans="1:29" ht="40.9" customHeight="1">
      <c r="A162" s="93" t="s">
        <v>101</v>
      </c>
      <c r="B162" s="93" t="s">
        <v>101</v>
      </c>
      <c r="C162" s="97" t="s">
        <v>293</v>
      </c>
      <c r="D162" s="118" t="s">
        <v>826</v>
      </c>
      <c r="E162" s="95">
        <v>80250090009</v>
      </c>
      <c r="F162" s="201" t="s">
        <v>385</v>
      </c>
      <c r="G162" s="98" t="s">
        <v>386</v>
      </c>
      <c r="H162" s="98"/>
      <c r="I162" s="98"/>
      <c r="J162" s="97" t="s">
        <v>757</v>
      </c>
      <c r="K162" s="64" t="s">
        <v>395</v>
      </c>
      <c r="L162" s="64" t="s">
        <v>395</v>
      </c>
      <c r="M162" s="64" t="s">
        <v>395</v>
      </c>
      <c r="N162" s="64" t="s">
        <v>395</v>
      </c>
      <c r="O162" s="97" t="s">
        <v>827</v>
      </c>
      <c r="P162" s="97" t="s">
        <v>631</v>
      </c>
      <c r="Q162" s="94" t="s">
        <v>568</v>
      </c>
      <c r="R162" s="124">
        <v>50000</v>
      </c>
      <c r="S162" s="90" t="str">
        <f>IFERROR(VLOOKUP(Q162,'Veicamo darbu apraksts'!$B$2:$D$39,2,FALSE),"")</f>
        <v>m2</v>
      </c>
      <c r="T162" s="90">
        <f>+'Veicamo darbu apraksts'!D8</f>
        <v>70</v>
      </c>
      <c r="U162" s="94">
        <f t="shared" si="28"/>
        <v>3500000</v>
      </c>
      <c r="V162" s="117">
        <v>2000</v>
      </c>
      <c r="W162" s="67">
        <v>0.4</v>
      </c>
      <c r="X162" s="68">
        <v>1</v>
      </c>
      <c r="Y162" s="96">
        <f t="shared" si="32"/>
        <v>9600</v>
      </c>
      <c r="Z162" s="110">
        <f t="shared" ref="Z162:Z229" si="38">V162*X162*12</f>
        <v>24000</v>
      </c>
      <c r="AA162" s="105">
        <f t="shared" si="30"/>
        <v>364.58333333333331</v>
      </c>
      <c r="AB162" s="105">
        <f t="shared" si="19"/>
        <v>145.83333333333334</v>
      </c>
      <c r="AC162" s="305">
        <v>7</v>
      </c>
    </row>
    <row r="163" spans="1:29" ht="42" customHeight="1">
      <c r="A163" s="93" t="s">
        <v>103</v>
      </c>
      <c r="B163" s="93" t="s">
        <v>103</v>
      </c>
      <c r="C163" s="97" t="s">
        <v>293</v>
      </c>
      <c r="D163" s="97" t="s">
        <v>828</v>
      </c>
      <c r="E163" s="95">
        <v>80250060449</v>
      </c>
      <c r="F163" s="201" t="s">
        <v>518</v>
      </c>
      <c r="G163" s="94" t="s">
        <v>490</v>
      </c>
      <c r="H163" s="94"/>
      <c r="I163" s="94"/>
      <c r="J163" s="97" t="s">
        <v>520</v>
      </c>
      <c r="K163" s="92"/>
      <c r="L163" s="92"/>
      <c r="M163" s="92"/>
      <c r="N163" s="92"/>
      <c r="O163" s="97" t="s">
        <v>829</v>
      </c>
      <c r="P163" s="97" t="s">
        <v>681</v>
      </c>
      <c r="Q163" s="94" t="s">
        <v>675</v>
      </c>
      <c r="R163" s="90">
        <v>2500</v>
      </c>
      <c r="S163" s="90" t="str">
        <f>IFERROR(VLOOKUP(Q163,'Veicamo darbu apraksts'!$B$2:$D$39,2,FALSE),"")</f>
        <v>m2</v>
      </c>
      <c r="T163" s="90">
        <f>IFERROR(VLOOKUP(Q163,'Veicamo darbu apraksts'!$B$2:$D$39,3,FALSE),"")</f>
        <v>55</v>
      </c>
      <c r="U163" s="94">
        <f t="shared" si="28"/>
        <v>137500</v>
      </c>
      <c r="V163" s="117">
        <v>1000</v>
      </c>
      <c r="W163" s="67">
        <v>0.4</v>
      </c>
      <c r="X163" s="68">
        <v>10</v>
      </c>
      <c r="Y163" s="96">
        <f t="shared" si="32"/>
        <v>48000</v>
      </c>
      <c r="Z163" s="110">
        <f t="shared" si="38"/>
        <v>120000</v>
      </c>
      <c r="AA163" s="105">
        <f t="shared" si="30"/>
        <v>2.8645833333333335</v>
      </c>
      <c r="AB163" s="105">
        <f t="shared" si="19"/>
        <v>1.1458333333333333</v>
      </c>
      <c r="AC163" s="305">
        <v>2</v>
      </c>
    </row>
    <row r="164" spans="1:29" ht="60" customHeight="1">
      <c r="A164" s="93" t="s">
        <v>104</v>
      </c>
      <c r="B164" s="93" t="s">
        <v>104</v>
      </c>
      <c r="C164" s="97" t="s">
        <v>830</v>
      </c>
      <c r="D164" s="215" t="s">
        <v>831</v>
      </c>
      <c r="E164" s="113">
        <v>80250030102</v>
      </c>
      <c r="F164" s="208" t="s">
        <v>518</v>
      </c>
      <c r="G164" s="94" t="s">
        <v>490</v>
      </c>
      <c r="H164" s="94"/>
      <c r="I164" s="94"/>
      <c r="J164" s="97" t="s">
        <v>520</v>
      </c>
      <c r="K164" s="114"/>
      <c r="L164" s="114"/>
      <c r="M164" s="114"/>
      <c r="N164" s="114"/>
      <c r="O164" s="97" t="s">
        <v>832</v>
      </c>
      <c r="P164" s="97" t="s">
        <v>681</v>
      </c>
      <c r="Q164" s="94" t="s">
        <v>503</v>
      </c>
      <c r="R164" s="90">
        <v>3500</v>
      </c>
      <c r="S164" s="90" t="str">
        <f>IFERROR(VLOOKUP(Q164,'Veicamo darbu apraksts'!$B$2:$D$39,2,FALSE),"")</f>
        <v>m2</v>
      </c>
      <c r="T164" s="90">
        <f>IFERROR(VLOOKUP(Q164,'Veicamo darbu apraksts'!$B$2:$D$39,3,FALSE),"")</f>
        <v>42</v>
      </c>
      <c r="U164" s="94">
        <f t="shared" si="28"/>
        <v>147000</v>
      </c>
      <c r="V164" s="117">
        <v>1500</v>
      </c>
      <c r="W164" s="67">
        <v>0.5</v>
      </c>
      <c r="X164" s="68">
        <v>5</v>
      </c>
      <c r="Y164" s="96">
        <f t="shared" si="32"/>
        <v>45000</v>
      </c>
      <c r="Z164" s="110">
        <f t="shared" si="38"/>
        <v>90000</v>
      </c>
      <c r="AA164" s="105">
        <f t="shared" si="30"/>
        <v>3.2666666666666666</v>
      </c>
      <c r="AB164" s="105">
        <f t="shared" si="19"/>
        <v>1.6333333333333333</v>
      </c>
      <c r="AC164" s="305">
        <v>3</v>
      </c>
    </row>
    <row r="165" spans="1:29" ht="82.9" customHeight="1">
      <c r="A165" s="93" t="s">
        <v>105</v>
      </c>
      <c r="B165" s="93" t="s">
        <v>105</v>
      </c>
      <c r="C165" s="97" t="s">
        <v>833</v>
      </c>
      <c r="D165" s="119" t="s">
        <v>834</v>
      </c>
      <c r="E165" s="113" t="s">
        <v>562</v>
      </c>
      <c r="F165" s="208" t="s">
        <v>835</v>
      </c>
      <c r="G165" s="94" t="s">
        <v>490</v>
      </c>
      <c r="H165" s="94"/>
      <c r="I165" s="94"/>
      <c r="J165" s="97" t="s">
        <v>757</v>
      </c>
      <c r="K165" s="114"/>
      <c r="L165" s="114"/>
      <c r="M165" s="114"/>
      <c r="N165" s="114"/>
      <c r="O165" s="97" t="s">
        <v>836</v>
      </c>
      <c r="P165" s="97" t="s">
        <v>837</v>
      </c>
      <c r="Q165" s="97" t="s">
        <v>837</v>
      </c>
      <c r="R165" s="90">
        <v>10000</v>
      </c>
      <c r="S165" s="90" t="s">
        <v>838</v>
      </c>
      <c r="T165" s="90" t="str">
        <f>IFERROR(VLOOKUP(Q165,'Veicamo darbu apraksts'!$B$2:$D$39,3,FALSE),"")</f>
        <v/>
      </c>
      <c r="U165" s="194">
        <f t="shared" si="28"/>
        <v>0</v>
      </c>
      <c r="V165" s="117">
        <v>200</v>
      </c>
      <c r="W165" s="67">
        <v>2.5</v>
      </c>
      <c r="X165" s="68">
        <v>1</v>
      </c>
      <c r="Y165" s="96">
        <f t="shared" si="32"/>
        <v>6000</v>
      </c>
      <c r="Z165" s="110">
        <f t="shared" si="38"/>
        <v>2400</v>
      </c>
      <c r="AA165" s="105">
        <f t="shared" si="30"/>
        <v>0</v>
      </c>
      <c r="AB165" s="105">
        <f t="shared" si="19"/>
        <v>0</v>
      </c>
      <c r="AC165" s="305">
        <v>7</v>
      </c>
    </row>
    <row r="166" spans="1:29" ht="82.9" customHeight="1">
      <c r="A166" s="93" t="s">
        <v>106</v>
      </c>
      <c r="B166" s="93" t="s">
        <v>106</v>
      </c>
      <c r="C166" s="97" t="s">
        <v>293</v>
      </c>
      <c r="D166" s="215" t="s">
        <v>839</v>
      </c>
      <c r="E166" s="113">
        <v>80050010218</v>
      </c>
      <c r="F166" s="208" t="s">
        <v>385</v>
      </c>
      <c r="G166" s="94" t="s">
        <v>386</v>
      </c>
      <c r="H166" s="125"/>
      <c r="I166" s="125"/>
      <c r="J166" s="112" t="s">
        <v>388</v>
      </c>
      <c r="K166" s="64" t="s">
        <v>389</v>
      </c>
      <c r="L166" s="64" t="s">
        <v>389</v>
      </c>
      <c r="M166" s="64" t="s">
        <v>395</v>
      </c>
      <c r="N166" s="64" t="s">
        <v>395</v>
      </c>
      <c r="O166" s="97" t="s">
        <v>840</v>
      </c>
      <c r="P166" s="94" t="s">
        <v>614</v>
      </c>
      <c r="Q166" s="94" t="s">
        <v>753</v>
      </c>
      <c r="R166" s="90">
        <v>1</v>
      </c>
      <c r="S166" s="90" t="str">
        <f>IFERROR(VLOOKUP(Q166,'Veicamo darbu apraksts'!$B$2:$D$39,2,FALSE),"")</f>
        <v>gab.</v>
      </c>
      <c r="T166" s="90">
        <f>IFERROR(VLOOKUP(Q166,'Veicamo darbu apraksts'!$B$2:$D$39,3,FALSE),"")</f>
        <v>45100</v>
      </c>
      <c r="U166" s="94">
        <f t="shared" si="28"/>
        <v>45100</v>
      </c>
      <c r="V166" s="117">
        <v>2000</v>
      </c>
      <c r="W166" s="67">
        <v>1</v>
      </c>
      <c r="X166" s="68">
        <v>15</v>
      </c>
      <c r="Y166" s="96">
        <f t="shared" si="32"/>
        <v>360000</v>
      </c>
      <c r="Z166" s="110">
        <f t="shared" si="38"/>
        <v>360000</v>
      </c>
      <c r="AA166" s="105">
        <f t="shared" si="30"/>
        <v>0.12527777777777777</v>
      </c>
      <c r="AB166" s="105">
        <f t="shared" si="19"/>
        <v>0.12527777777777777</v>
      </c>
      <c r="AC166" s="305">
        <v>7</v>
      </c>
    </row>
    <row r="167" spans="1:29" ht="39.6">
      <c r="A167" s="93" t="s">
        <v>107</v>
      </c>
      <c r="B167" s="93" t="s">
        <v>107</v>
      </c>
      <c r="C167" s="97" t="s">
        <v>293</v>
      </c>
      <c r="D167" s="115" t="s">
        <v>841</v>
      </c>
      <c r="E167" s="95">
        <v>80250060448</v>
      </c>
      <c r="F167" s="201" t="s">
        <v>518</v>
      </c>
      <c r="G167" s="98" t="s">
        <v>386</v>
      </c>
      <c r="H167" s="98"/>
      <c r="I167" s="98"/>
      <c r="J167" s="97" t="s">
        <v>762</v>
      </c>
      <c r="K167" s="92"/>
      <c r="L167" s="92"/>
      <c r="M167" s="92"/>
      <c r="N167" s="92"/>
      <c r="O167" s="97" t="s">
        <v>842</v>
      </c>
      <c r="P167" s="94" t="s">
        <v>467</v>
      </c>
      <c r="Q167" s="94" t="s">
        <v>467</v>
      </c>
      <c r="R167" s="90">
        <v>1</v>
      </c>
      <c r="S167" s="90" t="str">
        <f>IFERROR(VLOOKUP(Q167,'Veicamo darbu apraksts'!$B$2:$D$39,2,FALSE),"")</f>
        <v>gab.</v>
      </c>
      <c r="T167" s="90">
        <f>IFERROR(VLOOKUP(Q167,'Veicamo darbu apraksts'!$B$2:$D$39,3,FALSE),"")</f>
        <v>3150</v>
      </c>
      <c r="U167" s="94">
        <f t="shared" si="28"/>
        <v>3150</v>
      </c>
      <c r="V167" s="117">
        <v>200</v>
      </c>
      <c r="W167" s="67">
        <v>0.15</v>
      </c>
      <c r="X167" s="68">
        <v>10</v>
      </c>
      <c r="Y167" s="96">
        <f t="shared" si="32"/>
        <v>3600</v>
      </c>
      <c r="Z167" s="110">
        <f t="shared" si="38"/>
        <v>24000</v>
      </c>
      <c r="AA167" s="105">
        <f t="shared" si="30"/>
        <v>0.875</v>
      </c>
      <c r="AB167" s="105">
        <f t="shared" si="19"/>
        <v>0.13125000000000001</v>
      </c>
      <c r="AC167" s="305">
        <v>2</v>
      </c>
    </row>
    <row r="168" spans="1:29" ht="39.6">
      <c r="A168" s="93" t="s">
        <v>108</v>
      </c>
      <c r="B168" s="93" t="s">
        <v>108</v>
      </c>
      <c r="C168" s="97" t="s">
        <v>806</v>
      </c>
      <c r="D168" s="115" t="s">
        <v>843</v>
      </c>
      <c r="E168" s="95">
        <v>80250080236</v>
      </c>
      <c r="F168" s="201" t="s">
        <v>518</v>
      </c>
      <c r="G168" s="98" t="s">
        <v>386</v>
      </c>
      <c r="H168" s="98"/>
      <c r="I168" s="98"/>
      <c r="J168" s="97" t="s">
        <v>762</v>
      </c>
      <c r="K168" s="114"/>
      <c r="L168" s="114"/>
      <c r="M168" s="114"/>
      <c r="N168" s="114"/>
      <c r="O168" s="97" t="s">
        <v>844</v>
      </c>
      <c r="P168" s="94" t="s">
        <v>423</v>
      </c>
      <c r="Q168" s="94" t="s">
        <v>423</v>
      </c>
      <c r="R168" s="90">
        <v>2</v>
      </c>
      <c r="S168" s="90" t="str">
        <f>IFERROR(VLOOKUP(Q168,'Veicamo darbu apraksts'!$B$2:$D$39,2,FALSE),"")</f>
        <v>gab.</v>
      </c>
      <c r="T168" s="90">
        <f>IFERROR(VLOOKUP(Q168,'Veicamo darbu apraksts'!$B$2:$D$39,3,FALSE),"")</f>
        <v>2765</v>
      </c>
      <c r="U168" s="94">
        <f t="shared" si="28"/>
        <v>5530</v>
      </c>
      <c r="V168" s="117">
        <v>10</v>
      </c>
      <c r="W168" s="67">
        <v>0.05</v>
      </c>
      <c r="X168" s="68">
        <v>1</v>
      </c>
      <c r="Y168" s="96">
        <f t="shared" si="32"/>
        <v>6</v>
      </c>
      <c r="Z168" s="110">
        <f t="shared" si="38"/>
        <v>120</v>
      </c>
      <c r="AA168" s="105">
        <f t="shared" si="30"/>
        <v>921.66666666666663</v>
      </c>
      <c r="AB168" s="105">
        <f t="shared" si="19"/>
        <v>46.083333333333336</v>
      </c>
      <c r="AC168" s="305">
        <v>2</v>
      </c>
    </row>
    <row r="169" spans="1:29" ht="39.6">
      <c r="A169" s="93" t="s">
        <v>109</v>
      </c>
      <c r="B169" s="93" t="s">
        <v>109</v>
      </c>
      <c r="C169" s="97" t="s">
        <v>806</v>
      </c>
      <c r="D169" s="115" t="s">
        <v>845</v>
      </c>
      <c r="E169" s="95">
        <v>80250080236</v>
      </c>
      <c r="F169" s="201" t="s">
        <v>518</v>
      </c>
      <c r="G169" s="98" t="s">
        <v>386</v>
      </c>
      <c r="H169" s="98"/>
      <c r="I169" s="98"/>
      <c r="J169" s="97" t="s">
        <v>762</v>
      </c>
      <c r="K169" s="114"/>
      <c r="L169" s="114"/>
      <c r="M169" s="114"/>
      <c r="N169" s="114"/>
      <c r="O169" s="97" t="s">
        <v>846</v>
      </c>
      <c r="P169" s="94" t="s">
        <v>423</v>
      </c>
      <c r="Q169" s="94" t="s">
        <v>423</v>
      </c>
      <c r="R169" s="90">
        <v>2</v>
      </c>
      <c r="S169" s="90" t="str">
        <f>IFERROR(VLOOKUP(Q169,'Veicamo darbu apraksts'!$B$2:$D$39,2,FALSE),"")</f>
        <v>gab.</v>
      </c>
      <c r="T169" s="90">
        <f>IFERROR(VLOOKUP(Q169,'Veicamo darbu apraksts'!$B$2:$D$39,3,FALSE),"")</f>
        <v>2765</v>
      </c>
      <c r="U169" s="94">
        <f t="shared" si="28"/>
        <v>5530</v>
      </c>
      <c r="V169" s="117">
        <v>10</v>
      </c>
      <c r="W169" s="67">
        <v>0.1</v>
      </c>
      <c r="X169" s="68">
        <v>5</v>
      </c>
      <c r="Y169" s="96">
        <f t="shared" si="32"/>
        <v>60</v>
      </c>
      <c r="Z169" s="110">
        <f t="shared" si="38"/>
        <v>600</v>
      </c>
      <c r="AA169" s="105">
        <f t="shared" si="30"/>
        <v>92.166666666666671</v>
      </c>
      <c r="AB169" s="105">
        <f t="shared" si="19"/>
        <v>9.2166666666666668</v>
      </c>
      <c r="AC169" s="305">
        <v>1</v>
      </c>
    </row>
    <row r="170" spans="1:29" ht="99.4" customHeight="1">
      <c r="A170" s="93" t="s">
        <v>110</v>
      </c>
      <c r="B170" s="93" t="s">
        <v>110</v>
      </c>
      <c r="C170" s="97" t="s">
        <v>293</v>
      </c>
      <c r="D170" s="119" t="s">
        <v>847</v>
      </c>
      <c r="E170" s="120" t="s">
        <v>848</v>
      </c>
      <c r="F170" s="204" t="s">
        <v>385</v>
      </c>
      <c r="G170" s="94" t="s">
        <v>490</v>
      </c>
      <c r="H170" s="98"/>
      <c r="I170" s="98"/>
      <c r="J170" s="118" t="s">
        <v>849</v>
      </c>
      <c r="K170" s="118" t="s">
        <v>850</v>
      </c>
      <c r="L170" s="118" t="s">
        <v>850</v>
      </c>
      <c r="M170" s="114"/>
      <c r="N170" s="114"/>
      <c r="O170" s="118" t="s">
        <v>851</v>
      </c>
      <c r="P170" s="118" t="s">
        <v>850</v>
      </c>
      <c r="Q170" s="118" t="s">
        <v>850</v>
      </c>
      <c r="R170" s="90">
        <v>1</v>
      </c>
      <c r="S170" s="124" t="s">
        <v>493</v>
      </c>
      <c r="T170" s="90">
        <f>'Veicamo darbu apraksts'!D45</f>
        <v>60000</v>
      </c>
      <c r="U170" s="94">
        <f t="shared" si="28"/>
        <v>60000</v>
      </c>
      <c r="V170" s="117">
        <v>3000</v>
      </c>
      <c r="W170" s="67">
        <v>0.2</v>
      </c>
      <c r="X170" s="68">
        <v>20</v>
      </c>
      <c r="Y170" s="96">
        <f t="shared" si="32"/>
        <v>144000</v>
      </c>
      <c r="Z170" s="110">
        <f t="shared" si="38"/>
        <v>720000</v>
      </c>
      <c r="AA170" s="105">
        <f t="shared" si="30"/>
        <v>0.41666666666666669</v>
      </c>
      <c r="AB170" s="105">
        <f t="shared" si="19"/>
        <v>8.3333333333333329E-2</v>
      </c>
      <c r="AC170" s="305">
        <v>3</v>
      </c>
    </row>
    <row r="171" spans="1:29" ht="66">
      <c r="A171" s="93" t="s">
        <v>111</v>
      </c>
      <c r="B171" s="93" t="s">
        <v>111</v>
      </c>
      <c r="C171" s="97" t="s">
        <v>293</v>
      </c>
      <c r="D171" s="112" t="s">
        <v>852</v>
      </c>
      <c r="E171" s="113">
        <v>80050015731</v>
      </c>
      <c r="F171" s="208" t="s">
        <v>385</v>
      </c>
      <c r="G171" s="94" t="s">
        <v>490</v>
      </c>
      <c r="H171" s="98"/>
      <c r="I171" s="98"/>
      <c r="J171" s="97" t="s">
        <v>513</v>
      </c>
      <c r="K171" s="114"/>
      <c r="L171" s="114"/>
      <c r="M171" s="114"/>
      <c r="N171" s="114"/>
      <c r="O171" s="118" t="s">
        <v>853</v>
      </c>
      <c r="P171" s="94" t="s">
        <v>675</v>
      </c>
      <c r="Q171" s="94" t="s">
        <v>675</v>
      </c>
      <c r="R171" s="90">
        <v>14000</v>
      </c>
      <c r="S171" s="90" t="str">
        <f>IFERROR(VLOOKUP(Q171,'Veicamo darbu apraksts'!$B$2:$D$39,2,FALSE),"")</f>
        <v>m2</v>
      </c>
      <c r="T171" s="90">
        <f>IFERROR(VLOOKUP(Q171,'Veicamo darbu apraksts'!$B$2:$D$39,3,FALSE),"")</f>
        <v>55</v>
      </c>
      <c r="U171" s="94">
        <f t="shared" si="28"/>
        <v>770000</v>
      </c>
      <c r="V171" s="117">
        <v>500</v>
      </c>
      <c r="W171" s="67">
        <v>0.25</v>
      </c>
      <c r="X171" s="68">
        <v>25</v>
      </c>
      <c r="Y171" s="96">
        <f t="shared" si="32"/>
        <v>37500</v>
      </c>
      <c r="Z171" s="110">
        <f t="shared" si="38"/>
        <v>150000</v>
      </c>
      <c r="AA171" s="105">
        <f t="shared" si="30"/>
        <v>20.533333333333335</v>
      </c>
      <c r="AB171" s="105">
        <f t="shared" si="19"/>
        <v>5.1333333333333337</v>
      </c>
      <c r="AC171" s="305">
        <v>1</v>
      </c>
    </row>
    <row r="172" spans="1:29" ht="39.6">
      <c r="A172" s="93" t="s">
        <v>276</v>
      </c>
      <c r="B172" s="93" t="s">
        <v>276</v>
      </c>
      <c r="C172" s="118" t="s">
        <v>806</v>
      </c>
      <c r="D172" s="119" t="s">
        <v>854</v>
      </c>
      <c r="E172" s="120">
        <v>80250120124</v>
      </c>
      <c r="F172" s="204" t="s">
        <v>518</v>
      </c>
      <c r="G172" s="121" t="s">
        <v>386</v>
      </c>
      <c r="H172" s="121"/>
      <c r="I172" s="121"/>
      <c r="J172" s="97" t="s">
        <v>855</v>
      </c>
      <c r="K172" s="123"/>
      <c r="L172" s="123"/>
      <c r="M172" s="123"/>
      <c r="N172" s="123"/>
      <c r="O172" s="118" t="s">
        <v>856</v>
      </c>
      <c r="P172" s="118" t="s">
        <v>857</v>
      </c>
      <c r="Q172" s="121" t="s">
        <v>450</v>
      </c>
      <c r="R172" s="124">
        <v>1</v>
      </c>
      <c r="S172" s="90" t="str">
        <f>IFERROR(VLOOKUP(Q172,'Veicamo darbu apraksts'!$B$2:$D$39,2,FALSE),"")</f>
        <v>gab.</v>
      </c>
      <c r="T172" s="124">
        <f>IFERROR(VLOOKUP(Q172,'Veicamo darbu apraksts'!$B$2:$D$39,3,FALSE),"")</f>
        <v>90</v>
      </c>
      <c r="U172" s="94">
        <f t="shared" si="28"/>
        <v>90</v>
      </c>
      <c r="V172" s="117">
        <v>2000</v>
      </c>
      <c r="W172" s="67">
        <v>0.01</v>
      </c>
      <c r="X172" s="68">
        <v>15</v>
      </c>
      <c r="Y172" s="96">
        <f t="shared" si="32"/>
        <v>3600</v>
      </c>
      <c r="Z172" s="110">
        <f t="shared" si="38"/>
        <v>360000</v>
      </c>
      <c r="AA172" s="105">
        <f t="shared" si="30"/>
        <v>2.5000000000000001E-2</v>
      </c>
      <c r="AB172" s="105">
        <f t="shared" si="19"/>
        <v>2.5000000000000001E-4</v>
      </c>
      <c r="AC172" s="305">
        <v>1</v>
      </c>
    </row>
    <row r="173" spans="1:29" ht="66">
      <c r="A173" s="228" t="s">
        <v>113</v>
      </c>
      <c r="B173" s="228" t="s">
        <v>113</v>
      </c>
      <c r="C173" s="222" t="s">
        <v>293</v>
      </c>
      <c r="D173" s="115" t="s">
        <v>858</v>
      </c>
      <c r="E173" s="120">
        <v>80050010126</v>
      </c>
      <c r="F173" s="204" t="s">
        <v>518</v>
      </c>
      <c r="G173" s="121" t="s">
        <v>386</v>
      </c>
      <c r="H173" s="121"/>
      <c r="I173" s="121"/>
      <c r="J173" s="97" t="s">
        <v>859</v>
      </c>
      <c r="K173" s="123"/>
      <c r="L173" s="123"/>
      <c r="M173" s="123"/>
      <c r="N173" s="123"/>
      <c r="O173" s="118" t="s">
        <v>860</v>
      </c>
      <c r="P173" s="97" t="s">
        <v>391</v>
      </c>
      <c r="Q173" s="94" t="s">
        <v>391</v>
      </c>
      <c r="R173" s="124">
        <v>2</v>
      </c>
      <c r="S173" s="90" t="str">
        <f>IFERROR(VLOOKUP(Q173,'Veicamo darbu apraksts'!$B$2:$D$39,2,FALSE),"")</f>
        <v>m2</v>
      </c>
      <c r="T173" s="124">
        <f>IFERROR(VLOOKUP(Q173,'Veicamo darbu apraksts'!$B$2:$D$39,3,FALSE),"")</f>
        <v>50</v>
      </c>
      <c r="U173" s="94">
        <f t="shared" ref="U173" si="39">IFERROR(R173*T173,0)</f>
        <v>100</v>
      </c>
      <c r="V173" s="117">
        <v>2000</v>
      </c>
      <c r="W173" s="67">
        <v>0.01</v>
      </c>
      <c r="X173" s="68">
        <v>15</v>
      </c>
      <c r="Y173" s="96">
        <f t="shared" ref="Y173" si="40">V173*W173*X173*12</f>
        <v>3600</v>
      </c>
      <c r="Z173" s="110">
        <f t="shared" ref="Z173" si="41">V173*X173*12</f>
        <v>360000</v>
      </c>
      <c r="AA173" s="105">
        <f t="shared" ref="AA173" si="42">U173/Y173</f>
        <v>2.7777777777777776E-2</v>
      </c>
      <c r="AB173" s="105">
        <f t="shared" ref="AB173" si="43">U173/Z173</f>
        <v>2.7777777777777778E-4</v>
      </c>
      <c r="AC173" s="305">
        <v>3</v>
      </c>
    </row>
    <row r="174" spans="1:29" ht="39.6">
      <c r="A174" s="93" t="s">
        <v>209</v>
      </c>
      <c r="B174" s="93" t="s">
        <v>209</v>
      </c>
      <c r="C174" s="97" t="s">
        <v>348</v>
      </c>
      <c r="D174" s="118" t="s">
        <v>861</v>
      </c>
      <c r="E174" s="155">
        <v>80700081506</v>
      </c>
      <c r="F174" s="209" t="s">
        <v>385</v>
      </c>
      <c r="G174" s="121" t="s">
        <v>386</v>
      </c>
      <c r="H174" s="121"/>
      <c r="I174" s="121"/>
      <c r="J174" s="121" t="s">
        <v>388</v>
      </c>
      <c r="K174" s="122" t="s">
        <v>389</v>
      </c>
      <c r="L174" s="122" t="s">
        <v>389</v>
      </c>
      <c r="M174" s="122" t="s">
        <v>389</v>
      </c>
      <c r="N174" s="122" t="s">
        <v>389</v>
      </c>
      <c r="O174" s="121" t="s">
        <v>862</v>
      </c>
      <c r="P174" s="118" t="s">
        <v>863</v>
      </c>
      <c r="Q174" s="121" t="s">
        <v>450</v>
      </c>
      <c r="R174" s="124">
        <v>1</v>
      </c>
      <c r="S174" s="90" t="str">
        <f>IFERROR(VLOOKUP(Q174,'Veicamo darbu apraksts'!$B$2:$D$39,2,FALSE),"")</f>
        <v>gab.</v>
      </c>
      <c r="T174" s="124">
        <f>IFERROR(VLOOKUP(Q174,'Veicamo darbu apraksts'!$B$2:$D$39,3,FALSE),"")</f>
        <v>90</v>
      </c>
      <c r="U174" s="94">
        <f>IFERROR(R174*T174,0)</f>
        <v>90</v>
      </c>
      <c r="V174" s="117">
        <v>2000</v>
      </c>
      <c r="W174" s="186">
        <v>0.05</v>
      </c>
      <c r="X174" s="187">
        <v>15</v>
      </c>
      <c r="Y174" s="96">
        <f t="shared" si="32"/>
        <v>18000</v>
      </c>
      <c r="Z174" s="110">
        <f t="shared" si="38"/>
        <v>360000</v>
      </c>
      <c r="AA174" s="105">
        <f t="shared" si="30"/>
        <v>5.0000000000000001E-3</v>
      </c>
      <c r="AB174" s="105">
        <f t="shared" si="19"/>
        <v>2.5000000000000001E-4</v>
      </c>
      <c r="AC174" s="305">
        <v>1</v>
      </c>
    </row>
    <row r="175" spans="1:29" ht="57.75" customHeight="1">
      <c r="A175" s="93" t="s">
        <v>210</v>
      </c>
      <c r="B175" s="93" t="s">
        <v>211</v>
      </c>
      <c r="C175" s="97" t="s">
        <v>348</v>
      </c>
      <c r="D175" s="118" t="s">
        <v>864</v>
      </c>
      <c r="E175" s="155">
        <v>80700081337</v>
      </c>
      <c r="F175" s="209" t="s">
        <v>385</v>
      </c>
      <c r="G175" s="121" t="s">
        <v>490</v>
      </c>
      <c r="H175" s="121" t="s">
        <v>865</v>
      </c>
      <c r="I175" s="121"/>
      <c r="J175" s="97" t="s">
        <v>866</v>
      </c>
      <c r="K175" s="122"/>
      <c r="L175" s="122"/>
      <c r="M175" s="122"/>
      <c r="N175" s="122"/>
      <c r="O175" s="121" t="s">
        <v>867</v>
      </c>
      <c r="P175" s="97" t="s">
        <v>681</v>
      </c>
      <c r="Q175" s="94" t="s">
        <v>675</v>
      </c>
      <c r="R175" s="124">
        <v>1000</v>
      </c>
      <c r="S175" s="90" t="str">
        <f>IFERROR(VLOOKUP(Q175,'Veicamo darbu apraksts'!$B$2:$D$39,2,FALSE),"")</f>
        <v>m2</v>
      </c>
      <c r="T175" s="124">
        <f>IFERROR(VLOOKUP(Q175,'Veicamo darbu apraksts'!$B$2:$D$39,3,FALSE),"")</f>
        <v>55</v>
      </c>
      <c r="U175" s="94">
        <f>IFERROR(R175*T175,0)</f>
        <v>55000</v>
      </c>
      <c r="V175" s="117">
        <v>700</v>
      </c>
      <c r="W175" s="186">
        <v>0.3</v>
      </c>
      <c r="X175" s="187">
        <v>20</v>
      </c>
      <c r="Y175" s="96">
        <f t="shared" si="32"/>
        <v>50400</v>
      </c>
      <c r="Z175" s="110">
        <f t="shared" si="38"/>
        <v>168000</v>
      </c>
      <c r="AA175" s="105">
        <f t="shared" si="30"/>
        <v>1.0912698412698412</v>
      </c>
      <c r="AB175" s="105">
        <f t="shared" ref="AB175:AB229" si="44">U175/Z175</f>
        <v>0.32738095238095238</v>
      </c>
      <c r="AC175" s="305">
        <v>1</v>
      </c>
    </row>
    <row r="176" spans="1:29" ht="39.6">
      <c r="A176" s="93" t="s">
        <v>210</v>
      </c>
      <c r="B176" s="93" t="s">
        <v>212</v>
      </c>
      <c r="C176" s="97" t="s">
        <v>348</v>
      </c>
      <c r="D176" s="119" t="s">
        <v>864</v>
      </c>
      <c r="E176" s="120" t="s">
        <v>868</v>
      </c>
      <c r="F176" s="209" t="s">
        <v>385</v>
      </c>
      <c r="G176" s="121" t="s">
        <v>490</v>
      </c>
      <c r="H176" s="173" t="s">
        <v>865</v>
      </c>
      <c r="I176" s="173"/>
      <c r="J176" s="112" t="s">
        <v>866</v>
      </c>
      <c r="K176" s="174"/>
      <c r="L176" s="174"/>
      <c r="M176" s="174"/>
      <c r="N176" s="174"/>
      <c r="O176" s="173" t="s">
        <v>867</v>
      </c>
      <c r="P176" s="125" t="s">
        <v>423</v>
      </c>
      <c r="Q176" s="94" t="s">
        <v>423</v>
      </c>
      <c r="R176" s="177">
        <v>3</v>
      </c>
      <c r="S176" s="90" t="str">
        <f>IFERROR(VLOOKUP(Q176,'Veicamo darbu apraksts'!$B$2:$D$39,2,FALSE),"")</f>
        <v>gab.</v>
      </c>
      <c r="T176" s="124">
        <f>IFERROR(VLOOKUP(Q176,'Veicamo darbu apraksts'!$B$2:$D$39,3,FALSE),"")</f>
        <v>2765</v>
      </c>
      <c r="U176" s="94">
        <f>IFERROR(R176*T176,0)</f>
        <v>8295</v>
      </c>
      <c r="V176" s="178">
        <v>700</v>
      </c>
      <c r="W176" s="188">
        <v>0.15</v>
      </c>
      <c r="X176" s="189">
        <v>15</v>
      </c>
      <c r="Y176" s="96">
        <f t="shared" si="32"/>
        <v>18900</v>
      </c>
      <c r="Z176" s="110">
        <f t="shared" si="38"/>
        <v>126000</v>
      </c>
      <c r="AA176" s="105">
        <f t="shared" si="30"/>
        <v>0.43888888888888888</v>
      </c>
      <c r="AB176" s="105">
        <f t="shared" si="44"/>
        <v>6.5833333333333327E-2</v>
      </c>
      <c r="AC176" s="305">
        <v>1</v>
      </c>
    </row>
    <row r="177" spans="1:29" customFormat="1" ht="66">
      <c r="A177" s="160" t="s">
        <v>213</v>
      </c>
      <c r="B177" s="160" t="s">
        <v>213</v>
      </c>
      <c r="C177" s="172" t="s">
        <v>348</v>
      </c>
      <c r="D177" s="170" t="s">
        <v>869</v>
      </c>
      <c r="E177" s="210" t="s">
        <v>562</v>
      </c>
      <c r="F177" s="209" t="s">
        <v>385</v>
      </c>
      <c r="G177" s="121" t="s">
        <v>386</v>
      </c>
      <c r="H177" s="171"/>
      <c r="I177" s="171"/>
      <c r="J177" s="170" t="s">
        <v>520</v>
      </c>
      <c r="K177" s="171"/>
      <c r="L177" s="171"/>
      <c r="M177" s="171"/>
      <c r="N177" s="171"/>
      <c r="O177" s="176" t="s">
        <v>870</v>
      </c>
      <c r="P177" s="125" t="s">
        <v>871</v>
      </c>
      <c r="Q177" s="97" t="s">
        <v>871</v>
      </c>
      <c r="R177" s="196">
        <v>4.5</v>
      </c>
      <c r="S177" s="90" t="s">
        <v>872</v>
      </c>
      <c r="T177" s="124">
        <f>'Veicamo darbu apraksts'!D46</f>
        <v>2000</v>
      </c>
      <c r="U177" s="94">
        <f t="shared" ref="U177:U181" si="45">IFERROR(R177*T177,0)</f>
        <v>9000</v>
      </c>
      <c r="V177" s="181">
        <v>3000</v>
      </c>
      <c r="W177" s="190">
        <v>0.1</v>
      </c>
      <c r="X177" s="190">
        <v>1</v>
      </c>
      <c r="Y177" s="96">
        <f t="shared" si="32"/>
        <v>3600</v>
      </c>
      <c r="Z177" s="110">
        <f t="shared" si="38"/>
        <v>36000</v>
      </c>
      <c r="AA177" s="105">
        <f t="shared" si="30"/>
        <v>2.5</v>
      </c>
      <c r="AB177" s="105">
        <f t="shared" si="44"/>
        <v>0.25</v>
      </c>
      <c r="AC177" s="305">
        <v>1</v>
      </c>
    </row>
    <row r="178" spans="1:29" customFormat="1" ht="39.6">
      <c r="A178" s="230" t="s">
        <v>214</v>
      </c>
      <c r="B178" s="230" t="s">
        <v>214</v>
      </c>
      <c r="C178" s="231" t="s">
        <v>348</v>
      </c>
      <c r="D178" s="232" t="s">
        <v>873</v>
      </c>
      <c r="E178" s="233">
        <v>80700071379</v>
      </c>
      <c r="F178" s="234" t="s">
        <v>385</v>
      </c>
      <c r="G178" s="235" t="s">
        <v>490</v>
      </c>
      <c r="H178" s="171" t="s">
        <v>874</v>
      </c>
      <c r="I178" s="171"/>
      <c r="J178" s="236" t="s">
        <v>520</v>
      </c>
      <c r="K178" s="171"/>
      <c r="L178" s="171"/>
      <c r="M178" s="171"/>
      <c r="N178" s="171"/>
      <c r="O178" s="237" t="s">
        <v>875</v>
      </c>
      <c r="P178" s="238" t="s">
        <v>423</v>
      </c>
      <c r="Q178" s="94" t="s">
        <v>423</v>
      </c>
      <c r="R178" s="197">
        <v>3</v>
      </c>
      <c r="S178" s="90" t="str">
        <f>IFERROR(VLOOKUP(Q178,'Veicamo darbu apraksts'!$B$2:$D$39,2,FALSE),"")</f>
        <v>gab.</v>
      </c>
      <c r="T178" s="124">
        <f>IFERROR(VLOOKUP(Q178,'Veicamo darbu apraksts'!$B$2:$D$39,3,FALSE),"")</f>
        <v>2765</v>
      </c>
      <c r="U178" s="94">
        <f t="shared" si="45"/>
        <v>8295</v>
      </c>
      <c r="V178" s="181">
        <v>300</v>
      </c>
      <c r="W178" s="190">
        <v>0.2</v>
      </c>
      <c r="X178" s="190">
        <v>10</v>
      </c>
      <c r="Y178" s="96">
        <f t="shared" si="32"/>
        <v>7200</v>
      </c>
      <c r="Z178" s="110">
        <f t="shared" si="38"/>
        <v>36000</v>
      </c>
      <c r="AA178" s="105">
        <f t="shared" si="30"/>
        <v>1.1520833333333333</v>
      </c>
      <c r="AB178" s="105">
        <f t="shared" si="44"/>
        <v>0.23041666666666666</v>
      </c>
      <c r="AC178" s="305">
        <v>1</v>
      </c>
    </row>
    <row r="179" spans="1:29" ht="52.9">
      <c r="A179" s="239" t="s">
        <v>216</v>
      </c>
      <c r="B179" s="239" t="s">
        <v>216</v>
      </c>
      <c r="C179" s="222" t="s">
        <v>348</v>
      </c>
      <c r="D179" s="232" t="s">
        <v>876</v>
      </c>
      <c r="E179" s="233">
        <v>80700083909</v>
      </c>
      <c r="F179" s="240" t="s">
        <v>518</v>
      </c>
      <c r="G179" s="235" t="s">
        <v>490</v>
      </c>
      <c r="H179" s="241"/>
      <c r="I179" s="241"/>
      <c r="J179" s="242" t="s">
        <v>757</v>
      </c>
      <c r="K179" s="243"/>
      <c r="L179" s="243"/>
      <c r="M179" s="243"/>
      <c r="N179" s="243"/>
      <c r="O179" s="242" t="s">
        <v>877</v>
      </c>
      <c r="P179" s="242" t="s">
        <v>413</v>
      </c>
      <c r="Q179" s="97" t="s">
        <v>878</v>
      </c>
      <c r="R179" s="179">
        <v>15</v>
      </c>
      <c r="S179" s="90" t="s">
        <v>493</v>
      </c>
      <c r="T179" s="124">
        <f>'Veicamo darbu apraksts'!D41</f>
        <v>650</v>
      </c>
      <c r="U179" s="94">
        <f t="shared" si="45"/>
        <v>9750</v>
      </c>
      <c r="V179" s="180">
        <v>500</v>
      </c>
      <c r="W179" s="191">
        <v>0.1</v>
      </c>
      <c r="X179" s="192">
        <v>15</v>
      </c>
      <c r="Y179" s="96">
        <f t="shared" si="32"/>
        <v>9000</v>
      </c>
      <c r="Z179" s="110">
        <f t="shared" si="38"/>
        <v>90000</v>
      </c>
      <c r="AA179" s="105">
        <f t="shared" si="30"/>
        <v>1.0833333333333333</v>
      </c>
      <c r="AB179" s="105">
        <f t="shared" si="44"/>
        <v>0.10833333333333334</v>
      </c>
      <c r="AC179" s="305">
        <v>7</v>
      </c>
    </row>
    <row r="180" spans="1:29" ht="39.6">
      <c r="A180" s="228" t="s">
        <v>217</v>
      </c>
      <c r="B180" s="228" t="s">
        <v>217</v>
      </c>
      <c r="C180" s="222" t="s">
        <v>348</v>
      </c>
      <c r="D180" s="236" t="s">
        <v>879</v>
      </c>
      <c r="E180" s="244" t="s">
        <v>562</v>
      </c>
      <c r="F180" s="245" t="s">
        <v>562</v>
      </c>
      <c r="G180" s="235" t="s">
        <v>490</v>
      </c>
      <c r="H180" s="235"/>
      <c r="I180" s="235"/>
      <c r="J180" s="222" t="s">
        <v>880</v>
      </c>
      <c r="K180" s="246"/>
      <c r="L180" s="246"/>
      <c r="M180" s="246"/>
      <c r="N180" s="246"/>
      <c r="O180" s="222" t="s">
        <v>881</v>
      </c>
      <c r="P180" s="222" t="s">
        <v>881</v>
      </c>
      <c r="Q180" s="97" t="s">
        <v>881</v>
      </c>
      <c r="R180" s="90">
        <v>23</v>
      </c>
      <c r="S180" s="90" t="s">
        <v>872</v>
      </c>
      <c r="T180" s="98">
        <f>'Veicamo darbu apraksts'!D42</f>
        <v>10000</v>
      </c>
      <c r="U180" s="94">
        <f t="shared" si="45"/>
        <v>230000</v>
      </c>
      <c r="V180" s="117">
        <v>1000</v>
      </c>
      <c r="W180" s="186">
        <v>2</v>
      </c>
      <c r="X180" s="187">
        <v>1</v>
      </c>
      <c r="Y180" s="96">
        <f t="shared" si="32"/>
        <v>24000</v>
      </c>
      <c r="Z180" s="110">
        <f t="shared" si="38"/>
        <v>12000</v>
      </c>
      <c r="AA180" s="105">
        <f t="shared" si="30"/>
        <v>9.5833333333333339</v>
      </c>
      <c r="AB180" s="105">
        <f t="shared" si="44"/>
        <v>19.166666666666668</v>
      </c>
      <c r="AC180" s="305">
        <v>3</v>
      </c>
    </row>
    <row r="181" spans="1:29" ht="52.9">
      <c r="A181" s="228" t="s">
        <v>218</v>
      </c>
      <c r="B181" s="228" t="s">
        <v>218</v>
      </c>
      <c r="C181" s="222" t="s">
        <v>348</v>
      </c>
      <c r="D181" s="247" t="s">
        <v>882</v>
      </c>
      <c r="E181" s="223">
        <v>80700081121</v>
      </c>
      <c r="F181" s="234" t="s">
        <v>385</v>
      </c>
      <c r="G181" s="235" t="s">
        <v>386</v>
      </c>
      <c r="H181" s="235"/>
      <c r="I181" s="235"/>
      <c r="J181" s="222" t="s">
        <v>454</v>
      </c>
      <c r="K181" s="246"/>
      <c r="L181" s="246"/>
      <c r="M181" s="246"/>
      <c r="N181" s="246"/>
      <c r="O181" s="222" t="s">
        <v>883</v>
      </c>
      <c r="P181" s="222" t="s">
        <v>577</v>
      </c>
      <c r="Q181" s="94" t="s">
        <v>578</v>
      </c>
      <c r="R181" s="90">
        <v>1</v>
      </c>
      <c r="S181" s="90" t="str">
        <f>IFERROR(VLOOKUP(Q181,'Veicamo darbu apraksts'!$B$2:$D$39,2,FALSE),"")</f>
        <v>gab.</v>
      </c>
      <c r="T181" s="198">
        <f>'Vienību izmaksu aprēķins'!F91</f>
        <v>15000</v>
      </c>
      <c r="U181" s="94">
        <f t="shared" si="45"/>
        <v>15000</v>
      </c>
      <c r="V181" s="117">
        <v>3000</v>
      </c>
      <c r="W181" s="186">
        <v>1</v>
      </c>
      <c r="X181" s="187">
        <v>4</v>
      </c>
      <c r="Y181" s="96">
        <f t="shared" si="32"/>
        <v>144000</v>
      </c>
      <c r="Z181" s="110">
        <f t="shared" si="38"/>
        <v>144000</v>
      </c>
      <c r="AA181" s="105">
        <f t="shared" si="30"/>
        <v>0.10416666666666667</v>
      </c>
      <c r="AB181" s="105">
        <f t="shared" si="44"/>
        <v>0.10416666666666667</v>
      </c>
      <c r="AC181" s="305">
        <v>3</v>
      </c>
    </row>
    <row r="182" spans="1:29" ht="83.65" customHeight="1">
      <c r="A182" s="228" t="s">
        <v>219</v>
      </c>
      <c r="B182" s="228" t="s">
        <v>219</v>
      </c>
      <c r="C182" s="222" t="s">
        <v>348</v>
      </c>
      <c r="D182" s="248" t="s">
        <v>884</v>
      </c>
      <c r="E182" s="249">
        <v>80700081136</v>
      </c>
      <c r="F182" s="250" t="s">
        <v>385</v>
      </c>
      <c r="G182" s="235" t="s">
        <v>490</v>
      </c>
      <c r="H182" s="235"/>
      <c r="I182" s="235"/>
      <c r="J182" s="235" t="s">
        <v>491</v>
      </c>
      <c r="K182" s="251" t="s">
        <v>395</v>
      </c>
      <c r="L182" s="252" t="s">
        <v>404</v>
      </c>
      <c r="M182" s="253" t="s">
        <v>389</v>
      </c>
      <c r="N182" s="251" t="s">
        <v>395</v>
      </c>
      <c r="O182" s="235" t="s">
        <v>885</v>
      </c>
      <c r="P182" s="222" t="s">
        <v>886</v>
      </c>
      <c r="Q182" s="118" t="s">
        <v>887</v>
      </c>
      <c r="R182" s="124">
        <v>1</v>
      </c>
      <c r="S182" s="90" t="s">
        <v>493</v>
      </c>
      <c r="T182" s="124">
        <f>'Vienību izmaksu aprēķins'!F93</f>
        <v>15000</v>
      </c>
      <c r="U182" s="94">
        <f>IFERROR(R182*T182,0)</f>
        <v>15000</v>
      </c>
      <c r="V182" s="117">
        <v>6000</v>
      </c>
      <c r="W182" s="186">
        <v>0.01</v>
      </c>
      <c r="X182" s="187">
        <v>15</v>
      </c>
      <c r="Y182" s="96">
        <f t="shared" si="32"/>
        <v>10800</v>
      </c>
      <c r="Z182" s="110">
        <f t="shared" si="38"/>
        <v>1080000</v>
      </c>
      <c r="AA182" s="105">
        <f t="shared" si="30"/>
        <v>1.3888888888888888</v>
      </c>
      <c r="AB182" s="105">
        <f t="shared" si="44"/>
        <v>1.3888888888888888E-2</v>
      </c>
      <c r="AC182" s="305">
        <v>3</v>
      </c>
    </row>
    <row r="183" spans="1:29" ht="103.9" customHeight="1">
      <c r="A183" s="93" t="s">
        <v>220</v>
      </c>
      <c r="B183" s="93" t="s">
        <v>220</v>
      </c>
      <c r="C183" s="97" t="s">
        <v>348</v>
      </c>
      <c r="D183" s="97" t="s">
        <v>888</v>
      </c>
      <c r="E183" s="95">
        <v>80700083335</v>
      </c>
      <c r="F183" s="204" t="s">
        <v>385</v>
      </c>
      <c r="G183" s="121" t="s">
        <v>490</v>
      </c>
      <c r="H183" s="94"/>
      <c r="I183" s="94"/>
      <c r="J183" s="97" t="s">
        <v>513</v>
      </c>
      <c r="K183" s="92"/>
      <c r="L183" s="92"/>
      <c r="M183" s="92"/>
      <c r="N183" s="92"/>
      <c r="O183" s="97" t="s">
        <v>889</v>
      </c>
      <c r="P183" s="97" t="s">
        <v>681</v>
      </c>
      <c r="Q183" s="94" t="s">
        <v>398</v>
      </c>
      <c r="R183" s="90">
        <v>4000</v>
      </c>
      <c r="S183" s="90" t="str">
        <f>IFERROR(VLOOKUP(Q183,'Veicamo darbu apraksts'!$B$2:$D$39,2,FALSE),"")</f>
        <v>m2</v>
      </c>
      <c r="T183" s="124">
        <f>IFERROR(VLOOKUP(Q183,'Veicamo darbu apraksts'!$B$2:$D$39,3,FALSE),"")</f>
        <v>55</v>
      </c>
      <c r="U183" s="94">
        <f t="shared" ref="U183:U229" si="46">IFERROR(R183*T183,0)</f>
        <v>220000</v>
      </c>
      <c r="V183" s="117">
        <v>1000</v>
      </c>
      <c r="W183" s="186">
        <v>0.3</v>
      </c>
      <c r="X183" s="187">
        <v>15</v>
      </c>
      <c r="Y183" s="96">
        <f t="shared" si="32"/>
        <v>54000</v>
      </c>
      <c r="Z183" s="110">
        <f t="shared" si="38"/>
        <v>180000</v>
      </c>
      <c r="AA183" s="105">
        <f t="shared" si="30"/>
        <v>4.0740740740740744</v>
      </c>
      <c r="AB183" s="105">
        <f t="shared" si="44"/>
        <v>1.2222222222222223</v>
      </c>
      <c r="AC183" s="305">
        <v>2</v>
      </c>
    </row>
    <row r="184" spans="1:29" ht="94.15" customHeight="1">
      <c r="A184" s="93" t="s">
        <v>890</v>
      </c>
      <c r="B184" s="93" t="s">
        <v>221</v>
      </c>
      <c r="C184" s="97" t="s">
        <v>348</v>
      </c>
      <c r="D184" s="97" t="s">
        <v>891</v>
      </c>
      <c r="E184" s="95" t="s">
        <v>892</v>
      </c>
      <c r="F184" s="201" t="s">
        <v>385</v>
      </c>
      <c r="G184" s="121" t="s">
        <v>490</v>
      </c>
      <c r="H184" s="94"/>
      <c r="I184" s="94"/>
      <c r="J184" s="97" t="s">
        <v>859</v>
      </c>
      <c r="K184" s="92"/>
      <c r="L184" s="92"/>
      <c r="M184" s="92"/>
      <c r="N184" s="92"/>
      <c r="O184" s="297" t="s">
        <v>893</v>
      </c>
      <c r="P184" s="97" t="s">
        <v>786</v>
      </c>
      <c r="Q184" s="94" t="s">
        <v>503</v>
      </c>
      <c r="R184" s="90">
        <v>800</v>
      </c>
      <c r="S184" s="90" t="str">
        <f>IFERROR(VLOOKUP(Q184,'Veicamo darbu apraksts'!$B$2:$D$39,2,FALSE),"")</f>
        <v>m2</v>
      </c>
      <c r="T184" s="124">
        <f>IFERROR(VLOOKUP(Q184,'Veicamo darbu apraksts'!$B$2:$D$39,3,FALSE),"")</f>
        <v>42</v>
      </c>
      <c r="U184" s="94">
        <f t="shared" si="46"/>
        <v>33600</v>
      </c>
      <c r="V184" s="117">
        <v>3000</v>
      </c>
      <c r="W184" s="186">
        <v>0.2</v>
      </c>
      <c r="X184" s="187">
        <v>8</v>
      </c>
      <c r="Y184" s="96">
        <f t="shared" si="32"/>
        <v>57600</v>
      </c>
      <c r="Z184" s="110">
        <f t="shared" si="38"/>
        <v>288000</v>
      </c>
      <c r="AA184" s="105">
        <f t="shared" si="30"/>
        <v>0.58333333333333337</v>
      </c>
      <c r="AB184" s="105">
        <f t="shared" si="44"/>
        <v>0.11666666666666667</v>
      </c>
      <c r="AC184" s="305">
        <v>3</v>
      </c>
    </row>
    <row r="185" spans="1:29" ht="39.6">
      <c r="A185" s="93" t="s">
        <v>890</v>
      </c>
      <c r="B185" s="93" t="s">
        <v>222</v>
      </c>
      <c r="C185" s="97" t="s">
        <v>348</v>
      </c>
      <c r="D185" s="97" t="s">
        <v>891</v>
      </c>
      <c r="E185" s="95" t="s">
        <v>892</v>
      </c>
      <c r="F185" s="201" t="s">
        <v>385</v>
      </c>
      <c r="G185" s="121" t="s">
        <v>490</v>
      </c>
      <c r="H185" s="94"/>
      <c r="I185" s="94"/>
      <c r="J185" s="97" t="s">
        <v>570</v>
      </c>
      <c r="K185" s="92"/>
      <c r="L185" s="92"/>
      <c r="M185" s="92"/>
      <c r="N185" s="92"/>
      <c r="O185" s="97" t="s">
        <v>894</v>
      </c>
      <c r="P185" s="97" t="s">
        <v>506</v>
      </c>
      <c r="Q185" s="97" t="s">
        <v>506</v>
      </c>
      <c r="R185" s="90">
        <v>1</v>
      </c>
      <c r="S185" s="90" t="s">
        <v>493</v>
      </c>
      <c r="T185" s="124">
        <f>'Vienību izmaksu aprēķins'!F91</f>
        <v>15000</v>
      </c>
      <c r="U185" s="94">
        <f t="shared" si="46"/>
        <v>15000</v>
      </c>
      <c r="V185" s="117">
        <v>1000</v>
      </c>
      <c r="W185" s="186">
        <v>0.3</v>
      </c>
      <c r="X185" s="187">
        <v>2</v>
      </c>
      <c r="Y185" s="96">
        <f t="shared" si="32"/>
        <v>7200</v>
      </c>
      <c r="Z185" s="110">
        <f t="shared" si="38"/>
        <v>24000</v>
      </c>
      <c r="AA185" s="105">
        <f t="shared" si="30"/>
        <v>2.0833333333333335</v>
      </c>
      <c r="AB185" s="105">
        <f t="shared" si="44"/>
        <v>0.625</v>
      </c>
      <c r="AC185" s="305">
        <v>3</v>
      </c>
    </row>
    <row r="186" spans="1:29" ht="52.9">
      <c r="A186" s="93" t="s">
        <v>223</v>
      </c>
      <c r="B186" s="93" t="s">
        <v>223</v>
      </c>
      <c r="C186" s="97" t="s">
        <v>348</v>
      </c>
      <c r="D186" s="97" t="s">
        <v>895</v>
      </c>
      <c r="E186" s="95">
        <v>80700081317</v>
      </c>
      <c r="F186" s="201" t="s">
        <v>385</v>
      </c>
      <c r="G186" s="121" t="s">
        <v>490</v>
      </c>
      <c r="H186" s="94"/>
      <c r="I186" s="94"/>
      <c r="J186" s="97" t="s">
        <v>520</v>
      </c>
      <c r="K186" s="92"/>
      <c r="L186" s="92"/>
      <c r="M186" s="92"/>
      <c r="N186" s="92"/>
      <c r="O186" s="97" t="s">
        <v>896</v>
      </c>
      <c r="P186" s="97" t="s">
        <v>503</v>
      </c>
      <c r="Q186" s="94" t="s">
        <v>503</v>
      </c>
      <c r="R186" s="90">
        <v>3600</v>
      </c>
      <c r="S186" s="90" t="str">
        <f>IFERROR(VLOOKUP(Q186,'Veicamo darbu apraksts'!$B$2:$D$39,2,FALSE),"")</f>
        <v>m2</v>
      </c>
      <c r="T186" s="124">
        <f>IFERROR(VLOOKUP(Q186,'Veicamo darbu apraksts'!$B$2:$D$39,3,FALSE),"")</f>
        <v>42</v>
      </c>
      <c r="U186" s="94">
        <f t="shared" si="46"/>
        <v>151200</v>
      </c>
      <c r="V186" s="117">
        <v>1500</v>
      </c>
      <c r="W186" s="186">
        <v>0.5</v>
      </c>
      <c r="X186" s="187">
        <v>15</v>
      </c>
      <c r="Y186" s="96">
        <f t="shared" si="32"/>
        <v>135000</v>
      </c>
      <c r="Z186" s="110">
        <f t="shared" si="38"/>
        <v>270000</v>
      </c>
      <c r="AA186" s="105">
        <f t="shared" si="30"/>
        <v>1.1200000000000001</v>
      </c>
      <c r="AB186" s="105">
        <f t="shared" si="44"/>
        <v>0.56000000000000005</v>
      </c>
      <c r="AC186" s="305">
        <v>7</v>
      </c>
    </row>
    <row r="187" spans="1:29" ht="64.150000000000006" customHeight="1">
      <c r="A187" s="93" t="s">
        <v>897</v>
      </c>
      <c r="B187" s="93" t="s">
        <v>59</v>
      </c>
      <c r="C187" s="97" t="s">
        <v>323</v>
      </c>
      <c r="D187" s="97" t="s">
        <v>898</v>
      </c>
      <c r="E187" s="95" t="s">
        <v>899</v>
      </c>
      <c r="F187" s="201" t="s">
        <v>518</v>
      </c>
      <c r="G187" s="121" t="s">
        <v>490</v>
      </c>
      <c r="H187" s="94"/>
      <c r="I187" s="94"/>
      <c r="J187" s="97" t="s">
        <v>515</v>
      </c>
      <c r="K187" s="92"/>
      <c r="L187" s="92"/>
      <c r="M187" s="92"/>
      <c r="N187" s="92"/>
      <c r="O187" s="97" t="s">
        <v>900</v>
      </c>
      <c r="P187" s="97" t="s">
        <v>681</v>
      </c>
      <c r="Q187" s="94" t="s">
        <v>675</v>
      </c>
      <c r="R187" s="90">
        <v>800</v>
      </c>
      <c r="S187" s="90" t="str">
        <f>IFERROR(VLOOKUP(Q187,'Veicamo darbu apraksts'!$B$2:$D$39,2,FALSE),"")</f>
        <v>m2</v>
      </c>
      <c r="T187" s="124">
        <f>IFERROR(VLOOKUP(Q187,'Veicamo darbu apraksts'!$B$2:$D$39,3,FALSE),"")</f>
        <v>55</v>
      </c>
      <c r="U187" s="94">
        <f t="shared" si="46"/>
        <v>44000</v>
      </c>
      <c r="V187" s="117">
        <v>1000</v>
      </c>
      <c r="W187" s="186">
        <v>0.5</v>
      </c>
      <c r="X187" s="187">
        <v>10</v>
      </c>
      <c r="Y187" s="96">
        <f t="shared" si="32"/>
        <v>60000</v>
      </c>
      <c r="Z187" s="110">
        <f t="shared" si="38"/>
        <v>120000</v>
      </c>
      <c r="AA187" s="105">
        <f t="shared" si="30"/>
        <v>0.73333333333333328</v>
      </c>
      <c r="AB187" s="105">
        <f t="shared" si="44"/>
        <v>0.36666666666666664</v>
      </c>
      <c r="AC187" s="305">
        <v>3</v>
      </c>
    </row>
    <row r="188" spans="1:29" ht="57.4" customHeight="1">
      <c r="A188" s="93" t="s">
        <v>897</v>
      </c>
      <c r="B188" s="93" t="s">
        <v>60</v>
      </c>
      <c r="C188" s="97" t="s">
        <v>323</v>
      </c>
      <c r="D188" s="97" t="s">
        <v>901</v>
      </c>
      <c r="E188" s="95" t="s">
        <v>899</v>
      </c>
      <c r="F188" s="201" t="s">
        <v>518</v>
      </c>
      <c r="G188" s="121" t="s">
        <v>490</v>
      </c>
      <c r="H188" s="94"/>
      <c r="I188" s="94"/>
      <c r="J188" s="97" t="s">
        <v>515</v>
      </c>
      <c r="K188" s="92"/>
      <c r="L188" s="92"/>
      <c r="M188" s="92"/>
      <c r="N188" s="92"/>
      <c r="O188" s="97" t="s">
        <v>900</v>
      </c>
      <c r="P188" s="94" t="s">
        <v>423</v>
      </c>
      <c r="Q188" s="94" t="s">
        <v>423</v>
      </c>
      <c r="R188" s="90">
        <v>4</v>
      </c>
      <c r="S188" s="90" t="str">
        <f>IFERROR(VLOOKUP(Q188,'Veicamo darbu apraksts'!$B$2:$D$39,2,FALSE),"")</f>
        <v>gab.</v>
      </c>
      <c r="T188" s="124">
        <f>IFERROR(VLOOKUP(Q188,'Veicamo darbu apraksts'!$B$2:$D$39,3,FALSE),"")</f>
        <v>2765</v>
      </c>
      <c r="U188" s="94">
        <f t="shared" si="46"/>
        <v>11060</v>
      </c>
      <c r="V188" s="117">
        <v>1000</v>
      </c>
      <c r="W188" s="186">
        <v>0.15</v>
      </c>
      <c r="X188" s="187">
        <v>10</v>
      </c>
      <c r="Y188" s="96">
        <f t="shared" si="32"/>
        <v>18000</v>
      </c>
      <c r="Z188" s="110">
        <f t="shared" si="38"/>
        <v>120000</v>
      </c>
      <c r="AA188" s="105">
        <f t="shared" si="30"/>
        <v>0.61444444444444446</v>
      </c>
      <c r="AB188" s="105">
        <f t="shared" si="44"/>
        <v>9.2166666666666661E-2</v>
      </c>
      <c r="AC188" s="305">
        <v>1</v>
      </c>
    </row>
    <row r="189" spans="1:29" ht="56.25" customHeight="1">
      <c r="A189" s="93" t="s">
        <v>902</v>
      </c>
      <c r="B189" s="93" t="s">
        <v>61</v>
      </c>
      <c r="C189" s="97" t="s">
        <v>323</v>
      </c>
      <c r="D189" s="97" t="s">
        <v>903</v>
      </c>
      <c r="E189" s="95">
        <v>80070010207</v>
      </c>
      <c r="F189" s="201" t="s">
        <v>385</v>
      </c>
      <c r="G189" s="121" t="s">
        <v>490</v>
      </c>
      <c r="H189" s="94"/>
      <c r="I189" s="94"/>
      <c r="J189" s="97" t="s">
        <v>904</v>
      </c>
      <c r="K189" s="92"/>
      <c r="L189" s="92"/>
      <c r="M189" s="92"/>
      <c r="N189" s="92"/>
      <c r="O189" s="97" t="s">
        <v>905</v>
      </c>
      <c r="P189" s="97" t="s">
        <v>681</v>
      </c>
      <c r="Q189" s="94" t="s">
        <v>398</v>
      </c>
      <c r="R189" s="90">
        <v>1000</v>
      </c>
      <c r="S189" s="90" t="str">
        <f>IFERROR(VLOOKUP(Q189,'Veicamo darbu apraksts'!$B$2:$D$39,2,FALSE),"")</f>
        <v>m2</v>
      </c>
      <c r="T189" s="124">
        <f>IFERROR(VLOOKUP(Q189,'Veicamo darbu apraksts'!$B$2:$D$39,3,FALSE),"")</f>
        <v>55</v>
      </c>
      <c r="U189" s="94">
        <f t="shared" si="46"/>
        <v>55000</v>
      </c>
      <c r="V189" s="117">
        <v>500</v>
      </c>
      <c r="W189" s="186">
        <v>0.3</v>
      </c>
      <c r="X189" s="187">
        <v>10</v>
      </c>
      <c r="Y189" s="317">
        <f t="shared" si="32"/>
        <v>18000</v>
      </c>
      <c r="Z189" s="318">
        <f t="shared" si="38"/>
        <v>60000</v>
      </c>
      <c r="AA189" s="319">
        <f t="shared" si="30"/>
        <v>3.0555555555555554</v>
      </c>
      <c r="AB189" s="319">
        <f t="shared" si="44"/>
        <v>0.91666666666666663</v>
      </c>
      <c r="AC189" s="305">
        <v>1</v>
      </c>
    </row>
    <row r="190" spans="1:29" ht="44.25" customHeight="1">
      <c r="A190" s="93" t="s">
        <v>902</v>
      </c>
      <c r="B190" s="93" t="s">
        <v>62</v>
      </c>
      <c r="C190" s="97" t="s">
        <v>323</v>
      </c>
      <c r="D190" s="112" t="s">
        <v>906</v>
      </c>
      <c r="E190" s="95">
        <v>80070010207</v>
      </c>
      <c r="F190" s="201" t="s">
        <v>385</v>
      </c>
      <c r="G190" s="121" t="s">
        <v>490</v>
      </c>
      <c r="H190" s="94"/>
      <c r="I190" s="94"/>
      <c r="J190" s="97" t="s">
        <v>907</v>
      </c>
      <c r="K190" s="92"/>
      <c r="L190" s="92"/>
      <c r="M190" s="92"/>
      <c r="N190" s="92"/>
      <c r="O190" s="97" t="s">
        <v>908</v>
      </c>
      <c r="P190" s="97" t="s">
        <v>909</v>
      </c>
      <c r="Q190" s="97" t="s">
        <v>907</v>
      </c>
      <c r="R190" s="90">
        <v>0.75</v>
      </c>
      <c r="S190" s="90" t="s">
        <v>872</v>
      </c>
      <c r="T190" s="124">
        <f>'Veicamo darbu apraksts'!D46</f>
        <v>2000</v>
      </c>
      <c r="U190" s="94">
        <f t="shared" si="46"/>
        <v>1500</v>
      </c>
      <c r="V190" s="117">
        <v>200</v>
      </c>
      <c r="W190" s="186">
        <v>0.1</v>
      </c>
      <c r="X190" s="187">
        <v>10</v>
      </c>
      <c r="Y190" s="317">
        <f t="shared" si="32"/>
        <v>2400</v>
      </c>
      <c r="Z190" s="318">
        <f t="shared" si="38"/>
        <v>24000</v>
      </c>
      <c r="AA190" s="319">
        <f t="shared" si="30"/>
        <v>0.625</v>
      </c>
      <c r="AB190" s="319">
        <f t="shared" si="44"/>
        <v>6.25E-2</v>
      </c>
      <c r="AC190" s="305">
        <v>2</v>
      </c>
    </row>
    <row r="191" spans="1:29" ht="57" customHeight="1">
      <c r="A191" s="93" t="s">
        <v>63</v>
      </c>
      <c r="B191" s="93" t="s">
        <v>63</v>
      </c>
      <c r="C191" s="97" t="s">
        <v>323</v>
      </c>
      <c r="D191" s="112" t="s">
        <v>910</v>
      </c>
      <c r="E191" s="95">
        <v>80700030637</v>
      </c>
      <c r="F191" s="201" t="s">
        <v>385</v>
      </c>
      <c r="G191" s="121" t="s">
        <v>490</v>
      </c>
      <c r="H191" s="94"/>
      <c r="I191" s="94"/>
      <c r="J191" s="97" t="s">
        <v>859</v>
      </c>
      <c r="K191" s="298"/>
      <c r="L191" s="298"/>
      <c r="M191" s="298"/>
      <c r="N191" s="298"/>
      <c r="O191" s="97" t="s">
        <v>911</v>
      </c>
      <c r="P191" s="97" t="s">
        <v>911</v>
      </c>
      <c r="Q191" s="97" t="s">
        <v>911</v>
      </c>
      <c r="R191" s="90">
        <f>876*6</f>
        <v>5256</v>
      </c>
      <c r="S191" s="90" t="s">
        <v>475</v>
      </c>
      <c r="T191" s="124">
        <f>'Veicamo darbu apraksts'!D49</f>
        <v>25</v>
      </c>
      <c r="U191" s="94">
        <f t="shared" si="46"/>
        <v>131400</v>
      </c>
      <c r="V191" s="117">
        <v>500</v>
      </c>
      <c r="W191" s="186">
        <v>0.3</v>
      </c>
      <c r="X191" s="187">
        <v>10</v>
      </c>
      <c r="Y191" s="96">
        <f t="shared" si="32"/>
        <v>18000</v>
      </c>
      <c r="Z191" s="110">
        <f t="shared" si="38"/>
        <v>60000</v>
      </c>
      <c r="AA191" s="105">
        <f t="shared" si="30"/>
        <v>7.3</v>
      </c>
      <c r="AB191" s="105">
        <f t="shared" si="44"/>
        <v>2.19</v>
      </c>
      <c r="AC191" s="305">
        <v>7</v>
      </c>
    </row>
    <row r="192" spans="1:29" ht="56.25" customHeight="1">
      <c r="A192" s="93" t="s">
        <v>65</v>
      </c>
      <c r="B192" s="93" t="s">
        <v>65</v>
      </c>
      <c r="C192" s="172" t="s">
        <v>323</v>
      </c>
      <c r="D192" s="112" t="s">
        <v>912</v>
      </c>
      <c r="E192" s="95" t="s">
        <v>913</v>
      </c>
      <c r="F192" s="201" t="s">
        <v>385</v>
      </c>
      <c r="G192" s="121" t="s">
        <v>490</v>
      </c>
      <c r="H192" s="94"/>
      <c r="I192" s="94"/>
      <c r="J192" s="97" t="s">
        <v>515</v>
      </c>
      <c r="K192" s="92"/>
      <c r="L192" s="92"/>
      <c r="M192" s="92"/>
      <c r="N192" s="92"/>
      <c r="O192" s="97" t="s">
        <v>914</v>
      </c>
      <c r="P192" s="97" t="s">
        <v>915</v>
      </c>
      <c r="Q192" s="94" t="s">
        <v>398</v>
      </c>
      <c r="R192" s="90">
        <v>1000</v>
      </c>
      <c r="S192" s="90" t="str">
        <f>IFERROR(VLOOKUP(Q192,'Veicamo darbu apraksts'!$B$2:$D$39,2,FALSE),"")</f>
        <v>m2</v>
      </c>
      <c r="T192" s="124">
        <f>IFERROR(VLOOKUP(Q192,'Veicamo darbu apraksts'!$B$2:$D$39,3,FALSE),"")</f>
        <v>55</v>
      </c>
      <c r="U192" s="94">
        <f t="shared" si="46"/>
        <v>55000</v>
      </c>
      <c r="V192" s="117">
        <v>5000</v>
      </c>
      <c r="W192" s="186">
        <v>0.5</v>
      </c>
      <c r="X192" s="187">
        <v>15</v>
      </c>
      <c r="Y192" s="96">
        <f t="shared" si="32"/>
        <v>450000</v>
      </c>
      <c r="Z192" s="110">
        <f t="shared" si="38"/>
        <v>900000</v>
      </c>
      <c r="AA192" s="105">
        <f t="shared" si="30"/>
        <v>0.12222222222222222</v>
      </c>
      <c r="AB192" s="105">
        <f t="shared" si="44"/>
        <v>6.1111111111111109E-2</v>
      </c>
      <c r="AC192" s="305">
        <v>3</v>
      </c>
    </row>
    <row r="193" spans="1:29" ht="39.75" customHeight="1">
      <c r="A193" s="93" t="s">
        <v>66</v>
      </c>
      <c r="B193" s="93" t="s">
        <v>66</v>
      </c>
      <c r="C193" s="172" t="s">
        <v>323</v>
      </c>
      <c r="D193" s="170" t="s">
        <v>912</v>
      </c>
      <c r="E193" s="95" t="s">
        <v>913</v>
      </c>
      <c r="F193" s="201" t="s">
        <v>385</v>
      </c>
      <c r="G193" s="121" t="s">
        <v>490</v>
      </c>
      <c r="H193" s="94"/>
      <c r="I193" s="94"/>
      <c r="J193" s="97" t="s">
        <v>515</v>
      </c>
      <c r="K193" s="92"/>
      <c r="L193" s="92"/>
      <c r="M193" s="92"/>
      <c r="N193" s="92"/>
      <c r="O193" s="97" t="s">
        <v>914</v>
      </c>
      <c r="P193" s="94" t="s">
        <v>423</v>
      </c>
      <c r="Q193" s="94" t="s">
        <v>423</v>
      </c>
      <c r="R193" s="90">
        <v>4</v>
      </c>
      <c r="S193" s="90" t="str">
        <f>IFERROR(VLOOKUP(Q193,'Veicamo darbu apraksts'!$B$2:$D$39,2,FALSE),"")</f>
        <v>gab.</v>
      </c>
      <c r="T193" s="124">
        <f>IFERROR(VLOOKUP(Q193,'Veicamo darbu apraksts'!$B$2:$D$39,3,FALSE),"")</f>
        <v>2765</v>
      </c>
      <c r="U193" s="94">
        <f t="shared" si="46"/>
        <v>11060</v>
      </c>
      <c r="V193" s="117">
        <v>5000</v>
      </c>
      <c r="W193" s="186">
        <v>0.15</v>
      </c>
      <c r="X193" s="187">
        <v>15</v>
      </c>
      <c r="Y193" s="96">
        <f t="shared" si="32"/>
        <v>135000</v>
      </c>
      <c r="Z193" s="110">
        <f t="shared" si="38"/>
        <v>900000</v>
      </c>
      <c r="AA193" s="105">
        <f t="shared" si="30"/>
        <v>8.192592592592593E-2</v>
      </c>
      <c r="AB193" s="105">
        <f t="shared" si="44"/>
        <v>1.2288888888888889E-2</v>
      </c>
      <c r="AC193" s="305">
        <v>3</v>
      </c>
    </row>
    <row r="194" spans="1:29" ht="52.9">
      <c r="A194" s="93" t="s">
        <v>67</v>
      </c>
      <c r="B194" s="93" t="s">
        <v>67</v>
      </c>
      <c r="C194" s="172" t="s">
        <v>330</v>
      </c>
      <c r="D194" s="170" t="s">
        <v>916</v>
      </c>
      <c r="E194" s="203" t="s">
        <v>917</v>
      </c>
      <c r="F194" s="201" t="s">
        <v>385</v>
      </c>
      <c r="G194" s="121" t="s">
        <v>490</v>
      </c>
      <c r="H194" s="94"/>
      <c r="I194" s="94"/>
      <c r="J194" s="97" t="s">
        <v>454</v>
      </c>
      <c r="K194" s="92"/>
      <c r="L194" s="92"/>
      <c r="M194" s="92"/>
      <c r="N194" s="92"/>
      <c r="O194" s="97" t="s">
        <v>918</v>
      </c>
      <c r="P194" s="97" t="s">
        <v>837</v>
      </c>
      <c r="Q194" s="97" t="s">
        <v>919</v>
      </c>
      <c r="R194" s="90">
        <v>1800</v>
      </c>
      <c r="S194" s="90" t="s">
        <v>475</v>
      </c>
      <c r="T194" s="124">
        <v>40</v>
      </c>
      <c r="U194" s="94">
        <f t="shared" si="46"/>
        <v>72000</v>
      </c>
      <c r="V194" s="117">
        <v>4000</v>
      </c>
      <c r="W194" s="186">
        <v>1</v>
      </c>
      <c r="X194" s="187">
        <v>1</v>
      </c>
      <c r="Y194" s="96">
        <f t="shared" si="32"/>
        <v>48000</v>
      </c>
      <c r="Z194" s="110">
        <f t="shared" si="38"/>
        <v>48000</v>
      </c>
      <c r="AA194" s="105">
        <f t="shared" si="30"/>
        <v>1.5</v>
      </c>
      <c r="AB194" s="105">
        <f t="shared" si="44"/>
        <v>1.5</v>
      </c>
      <c r="AC194" s="305">
        <v>3</v>
      </c>
    </row>
    <row r="195" spans="1:29" ht="39.6">
      <c r="A195" s="93" t="s">
        <v>68</v>
      </c>
      <c r="B195" s="93" t="s">
        <v>68</v>
      </c>
      <c r="C195" s="97" t="s">
        <v>323</v>
      </c>
      <c r="D195" s="175" t="s">
        <v>920</v>
      </c>
      <c r="E195" s="95">
        <v>80070021311</v>
      </c>
      <c r="F195" s="201" t="s">
        <v>385</v>
      </c>
      <c r="G195" s="121" t="s">
        <v>386</v>
      </c>
      <c r="H195" s="94"/>
      <c r="I195" s="94"/>
      <c r="J195" s="97" t="s">
        <v>570</v>
      </c>
      <c r="K195" s="92"/>
      <c r="L195" s="92"/>
      <c r="M195" s="92"/>
      <c r="N195" s="92"/>
      <c r="O195" s="97" t="s">
        <v>921</v>
      </c>
      <c r="P195" s="97" t="s">
        <v>506</v>
      </c>
      <c r="Q195" s="97" t="s">
        <v>506</v>
      </c>
      <c r="R195" s="90">
        <v>1</v>
      </c>
      <c r="S195" s="90" t="s">
        <v>493</v>
      </c>
      <c r="T195" s="124">
        <f>'Vienību izmaksu aprēķins'!F91</f>
        <v>15000</v>
      </c>
      <c r="U195" s="94">
        <f t="shared" si="46"/>
        <v>15000</v>
      </c>
      <c r="V195" s="117">
        <v>300</v>
      </c>
      <c r="W195" s="186">
        <v>0.5</v>
      </c>
      <c r="X195" s="187">
        <v>2</v>
      </c>
      <c r="Y195" s="96">
        <f t="shared" si="32"/>
        <v>3600</v>
      </c>
      <c r="Z195" s="110">
        <f t="shared" si="38"/>
        <v>7200</v>
      </c>
      <c r="AA195" s="105">
        <f t="shared" si="30"/>
        <v>4.166666666666667</v>
      </c>
      <c r="AB195" s="105">
        <f t="shared" si="44"/>
        <v>2.0833333333333335</v>
      </c>
      <c r="AC195" s="305">
        <v>3</v>
      </c>
    </row>
    <row r="196" spans="1:29" ht="26.45">
      <c r="A196" s="199" t="s">
        <v>69</v>
      </c>
      <c r="B196" s="199" t="s">
        <v>69</v>
      </c>
      <c r="C196" s="97" t="s">
        <v>323</v>
      </c>
      <c r="D196" s="225" t="s">
        <v>922</v>
      </c>
      <c r="E196" s="226" t="s">
        <v>923</v>
      </c>
      <c r="F196" s="201" t="s">
        <v>385</v>
      </c>
      <c r="G196" s="227" t="s">
        <v>490</v>
      </c>
      <c r="H196" s="227"/>
      <c r="I196" s="227"/>
      <c r="J196" s="225" t="s">
        <v>849</v>
      </c>
      <c r="K196" s="92"/>
      <c r="L196" s="92"/>
      <c r="M196" s="92"/>
      <c r="N196" s="92"/>
      <c r="O196" s="200" t="s">
        <v>924</v>
      </c>
      <c r="P196" s="200" t="s">
        <v>924</v>
      </c>
      <c r="Q196" s="200" t="s">
        <v>924</v>
      </c>
      <c r="R196" s="90">
        <v>1</v>
      </c>
      <c r="S196" s="90" t="s">
        <v>493</v>
      </c>
      <c r="T196" s="124">
        <f>'Veicamo darbu apraksts'!D45</f>
        <v>60000</v>
      </c>
      <c r="U196" s="94">
        <f>IFERROR(R196*T196,0)</f>
        <v>60000</v>
      </c>
      <c r="V196" s="117">
        <v>6000</v>
      </c>
      <c r="W196" s="186">
        <v>0.3</v>
      </c>
      <c r="X196" s="187">
        <v>25</v>
      </c>
      <c r="Y196" s="96">
        <f>V196*W196*X196*12</f>
        <v>540000</v>
      </c>
      <c r="Z196" s="110">
        <f>V196*X196*12</f>
        <v>1800000</v>
      </c>
      <c r="AA196" s="105">
        <f>U196/Y196</f>
        <v>0.1111111111111111</v>
      </c>
      <c r="AB196" s="105">
        <f>U196/Z196</f>
        <v>3.3333333333333333E-2</v>
      </c>
      <c r="AC196" s="305">
        <v>2</v>
      </c>
    </row>
    <row r="197" spans="1:29" s="299" customFormat="1" ht="52.9">
      <c r="A197" s="199" t="s">
        <v>70</v>
      </c>
      <c r="B197" s="199" t="s">
        <v>70</v>
      </c>
      <c r="C197" s="97" t="s">
        <v>323</v>
      </c>
      <c r="D197" s="225" t="s">
        <v>925</v>
      </c>
      <c r="E197" s="95">
        <v>80700021626</v>
      </c>
      <c r="F197" s="201" t="s">
        <v>385</v>
      </c>
      <c r="G197" s="227" t="s">
        <v>490</v>
      </c>
      <c r="H197" s="227"/>
      <c r="I197" s="227"/>
      <c r="J197" s="225" t="s">
        <v>926</v>
      </c>
      <c r="K197" s="92"/>
      <c r="L197" s="92"/>
      <c r="M197" s="92"/>
      <c r="N197" s="92"/>
      <c r="O197" s="200" t="s">
        <v>803</v>
      </c>
      <c r="P197" s="200" t="s">
        <v>803</v>
      </c>
      <c r="Q197" s="200" t="s">
        <v>568</v>
      </c>
      <c r="R197" s="90">
        <v>49000</v>
      </c>
      <c r="S197" s="90" t="s">
        <v>475</v>
      </c>
      <c r="T197" s="124">
        <f>'Veicamo darbu apraksts'!D21</f>
        <v>50</v>
      </c>
      <c r="U197" s="94">
        <f>IFERROR(R197*T197,0)</f>
        <v>2450000</v>
      </c>
      <c r="V197" s="117">
        <v>6000</v>
      </c>
      <c r="W197" s="186">
        <v>0.3</v>
      </c>
      <c r="X197" s="187">
        <v>25</v>
      </c>
      <c r="Y197" s="96">
        <f>V197*W197*X197*12</f>
        <v>540000</v>
      </c>
      <c r="Z197" s="110">
        <f>V197*X197*12</f>
        <v>1800000</v>
      </c>
      <c r="AA197" s="105">
        <f>U197/Y197</f>
        <v>4.5370370370370372</v>
      </c>
      <c r="AB197" s="105">
        <f>U197/Z197</f>
        <v>1.3611111111111112</v>
      </c>
      <c r="AC197" s="305">
        <v>7</v>
      </c>
    </row>
    <row r="198" spans="1:29" ht="52.9">
      <c r="A198" s="93" t="s">
        <v>266</v>
      </c>
      <c r="B198" s="93" t="s">
        <v>266</v>
      </c>
      <c r="C198" s="97" t="s">
        <v>325</v>
      </c>
      <c r="D198" s="97" t="s">
        <v>927</v>
      </c>
      <c r="E198" s="95">
        <v>80700020636</v>
      </c>
      <c r="F198" s="201" t="s">
        <v>928</v>
      </c>
      <c r="G198" s="121" t="s">
        <v>490</v>
      </c>
      <c r="H198" s="94"/>
      <c r="I198" s="94"/>
      <c r="J198" s="97" t="s">
        <v>570</v>
      </c>
      <c r="K198" s="92"/>
      <c r="L198" s="92"/>
      <c r="M198" s="92"/>
      <c r="N198" s="92"/>
      <c r="O198" s="97" t="s">
        <v>929</v>
      </c>
      <c r="P198" s="97" t="s">
        <v>506</v>
      </c>
      <c r="Q198" s="97" t="s">
        <v>506</v>
      </c>
      <c r="R198" s="90">
        <v>1</v>
      </c>
      <c r="S198" s="90" t="s">
        <v>493</v>
      </c>
      <c r="T198" s="124">
        <f>'Vienību izmaksu aprēķins'!F91</f>
        <v>15000</v>
      </c>
      <c r="U198" s="94">
        <f t="shared" si="46"/>
        <v>15000</v>
      </c>
      <c r="V198" s="117">
        <v>100</v>
      </c>
      <c r="W198" s="186">
        <v>0.5</v>
      </c>
      <c r="X198" s="187">
        <v>2</v>
      </c>
      <c r="Y198" s="96">
        <f t="shared" si="32"/>
        <v>1200</v>
      </c>
      <c r="Z198" s="110">
        <f t="shared" si="38"/>
        <v>2400</v>
      </c>
      <c r="AA198" s="105">
        <f t="shared" si="30"/>
        <v>12.5</v>
      </c>
      <c r="AB198" s="105">
        <f t="shared" si="44"/>
        <v>6.25</v>
      </c>
      <c r="AC198" s="305">
        <v>7</v>
      </c>
    </row>
    <row r="199" spans="1:29" ht="57" customHeight="1">
      <c r="A199" s="93" t="s">
        <v>268</v>
      </c>
      <c r="B199" s="93" t="s">
        <v>268</v>
      </c>
      <c r="C199" s="90" t="s">
        <v>328</v>
      </c>
      <c r="D199" s="235" t="s">
        <v>930</v>
      </c>
      <c r="E199" s="223">
        <v>80700070375</v>
      </c>
      <c r="F199" s="201" t="s">
        <v>385</v>
      </c>
      <c r="G199" s="235" t="s">
        <v>490</v>
      </c>
      <c r="H199" s="320"/>
      <c r="I199" s="321"/>
      <c r="J199" s="97" t="s">
        <v>570</v>
      </c>
      <c r="K199" s="92"/>
      <c r="L199" s="92"/>
      <c r="M199" s="92"/>
      <c r="N199" s="92"/>
      <c r="O199" s="94" t="s">
        <v>571</v>
      </c>
      <c r="P199" s="94" t="s">
        <v>506</v>
      </c>
      <c r="Q199" s="97" t="s">
        <v>506</v>
      </c>
      <c r="R199" s="90">
        <v>1</v>
      </c>
      <c r="S199" s="90" t="s">
        <v>493</v>
      </c>
      <c r="T199" s="124">
        <f>'Veicamo darbu apraksts'!D38</f>
        <v>15000</v>
      </c>
      <c r="U199" s="94">
        <f t="shared" si="46"/>
        <v>15000</v>
      </c>
      <c r="V199" s="117">
        <v>100</v>
      </c>
      <c r="W199" s="186">
        <v>0.5</v>
      </c>
      <c r="X199" s="187">
        <v>0.5</v>
      </c>
      <c r="Y199" s="317">
        <f t="shared" si="32"/>
        <v>300</v>
      </c>
      <c r="Z199" s="318">
        <f t="shared" si="38"/>
        <v>600</v>
      </c>
      <c r="AA199" s="319">
        <f t="shared" si="30"/>
        <v>50</v>
      </c>
      <c r="AB199" s="319">
        <f t="shared" si="44"/>
        <v>25</v>
      </c>
      <c r="AC199" s="305">
        <v>7</v>
      </c>
    </row>
    <row r="200" spans="1:29" ht="52.9">
      <c r="A200" s="228" t="s">
        <v>160</v>
      </c>
      <c r="B200" s="228" t="s">
        <v>160</v>
      </c>
      <c r="C200" s="222" t="s">
        <v>331</v>
      </c>
      <c r="D200" s="222" t="s">
        <v>931</v>
      </c>
      <c r="E200" s="223" t="s">
        <v>923</v>
      </c>
      <c r="F200" s="201"/>
      <c r="G200" s="121" t="s">
        <v>490</v>
      </c>
      <c r="H200" s="94"/>
      <c r="I200" s="94"/>
      <c r="J200" s="222" t="s">
        <v>849</v>
      </c>
      <c r="K200" s="92"/>
      <c r="L200" s="92"/>
      <c r="M200" s="92"/>
      <c r="N200" s="92"/>
      <c r="O200" s="229" t="s">
        <v>932</v>
      </c>
      <c r="P200" s="229" t="s">
        <v>932</v>
      </c>
      <c r="Q200" s="97" t="s">
        <v>933</v>
      </c>
      <c r="R200" s="90">
        <v>1</v>
      </c>
      <c r="S200" s="90" t="s">
        <v>493</v>
      </c>
      <c r="T200" s="124">
        <f>'Veicamo darbu apraksts'!D43</f>
        <v>20000</v>
      </c>
      <c r="U200" s="94">
        <f t="shared" si="46"/>
        <v>20000</v>
      </c>
      <c r="V200" s="117">
        <v>600</v>
      </c>
      <c r="W200" s="186">
        <v>0.2</v>
      </c>
      <c r="X200" s="187">
        <v>20</v>
      </c>
      <c r="Y200" s="96">
        <f t="shared" si="32"/>
        <v>28800</v>
      </c>
      <c r="Z200" s="110">
        <f t="shared" si="38"/>
        <v>144000</v>
      </c>
      <c r="AA200" s="105">
        <f t="shared" si="30"/>
        <v>0.69444444444444442</v>
      </c>
      <c r="AB200" s="105">
        <f t="shared" si="44"/>
        <v>0.1388888888888889</v>
      </c>
      <c r="AC200" s="305">
        <v>3</v>
      </c>
    </row>
    <row r="201" spans="1:29" ht="82.9" customHeight="1">
      <c r="A201" s="228" t="s">
        <v>161</v>
      </c>
      <c r="B201" s="228" t="s">
        <v>161</v>
      </c>
      <c r="C201" s="222" t="s">
        <v>331</v>
      </c>
      <c r="D201" s="222" t="s">
        <v>934</v>
      </c>
      <c r="E201" s="223">
        <v>80700181736</v>
      </c>
      <c r="F201" s="201" t="s">
        <v>935</v>
      </c>
      <c r="G201" s="121" t="s">
        <v>386</v>
      </c>
      <c r="H201" s="94"/>
      <c r="I201" s="94"/>
      <c r="J201" s="97" t="s">
        <v>936</v>
      </c>
      <c r="K201" s="92"/>
      <c r="L201" s="92"/>
      <c r="M201" s="92"/>
      <c r="N201" s="92"/>
      <c r="O201" s="97" t="s">
        <v>937</v>
      </c>
      <c r="P201" s="97" t="s">
        <v>938</v>
      </c>
      <c r="Q201" s="94" t="s">
        <v>939</v>
      </c>
      <c r="R201" s="90">
        <v>1</v>
      </c>
      <c r="S201" s="90" t="str">
        <f>IFERROR(VLOOKUP(Q201,'Veicamo darbu apraksts'!$B$2:$D$39,2,FALSE),"")</f>
        <v>gab.</v>
      </c>
      <c r="T201" s="124">
        <f>IFERROR(VLOOKUP(Q201,'Veicamo darbu apraksts'!$B$2:$D$39,3,FALSE),"")</f>
        <v>13625</v>
      </c>
      <c r="U201" s="94">
        <f t="shared" si="46"/>
        <v>13625</v>
      </c>
      <c r="V201" s="117">
        <v>100</v>
      </c>
      <c r="W201" s="186">
        <v>0.5</v>
      </c>
      <c r="X201" s="187">
        <v>8</v>
      </c>
      <c r="Y201" s="96">
        <f t="shared" si="32"/>
        <v>4800</v>
      </c>
      <c r="Z201" s="110">
        <f t="shared" si="38"/>
        <v>9600</v>
      </c>
      <c r="AA201" s="105">
        <f t="shared" ref="AA201:AA229" si="47">U201/Y201</f>
        <v>2.8385416666666665</v>
      </c>
      <c r="AB201" s="105">
        <f t="shared" si="44"/>
        <v>1.4192708333333333</v>
      </c>
      <c r="AC201" s="305">
        <v>1</v>
      </c>
    </row>
    <row r="202" spans="1:29" ht="26.45">
      <c r="A202" s="228" t="s">
        <v>162</v>
      </c>
      <c r="B202" s="228" t="s">
        <v>162</v>
      </c>
      <c r="C202" s="222" t="s">
        <v>331</v>
      </c>
      <c r="D202" s="222" t="s">
        <v>940</v>
      </c>
      <c r="E202" s="223" t="s">
        <v>562</v>
      </c>
      <c r="F202" s="201" t="s">
        <v>562</v>
      </c>
      <c r="G202" s="121" t="s">
        <v>490</v>
      </c>
      <c r="H202" s="94"/>
      <c r="I202" s="94"/>
      <c r="J202" s="97"/>
      <c r="K202" s="92"/>
      <c r="L202" s="92"/>
      <c r="M202" s="92"/>
      <c r="N202" s="92"/>
      <c r="O202" s="97" t="s">
        <v>881</v>
      </c>
      <c r="P202" s="97" t="s">
        <v>881</v>
      </c>
      <c r="Q202" s="97" t="s">
        <v>941</v>
      </c>
      <c r="R202" s="90">
        <v>18</v>
      </c>
      <c r="S202" s="90" t="s">
        <v>872</v>
      </c>
      <c r="T202" s="124">
        <f>'Veicamo darbu apraksts'!D42</f>
        <v>10000</v>
      </c>
      <c r="U202" s="94">
        <v>10000</v>
      </c>
      <c r="V202" s="117">
        <v>500</v>
      </c>
      <c r="W202" s="186">
        <v>2</v>
      </c>
      <c r="X202" s="187">
        <v>1</v>
      </c>
      <c r="Y202" s="96">
        <f t="shared" si="32"/>
        <v>12000</v>
      </c>
      <c r="Z202" s="110">
        <f t="shared" si="38"/>
        <v>6000</v>
      </c>
      <c r="AA202" s="105">
        <f t="shared" si="47"/>
        <v>0.83333333333333337</v>
      </c>
      <c r="AB202" s="105">
        <f t="shared" si="44"/>
        <v>1.6666666666666667</v>
      </c>
      <c r="AC202" s="305">
        <v>1</v>
      </c>
    </row>
    <row r="203" spans="1:29" ht="66.599999999999994">
      <c r="A203" s="93" t="s">
        <v>163</v>
      </c>
      <c r="B203" s="93" t="s">
        <v>163</v>
      </c>
      <c r="C203" s="97" t="s">
        <v>331</v>
      </c>
      <c r="D203" s="175" t="s">
        <v>942</v>
      </c>
      <c r="E203" s="223">
        <v>80700182081</v>
      </c>
      <c r="F203" s="201" t="s">
        <v>385</v>
      </c>
      <c r="G203" s="121" t="s">
        <v>490</v>
      </c>
      <c r="H203" s="94"/>
      <c r="I203" s="94"/>
      <c r="J203" s="97" t="s">
        <v>943</v>
      </c>
      <c r="K203" s="92"/>
      <c r="L203" s="92"/>
      <c r="M203" s="92"/>
      <c r="N203" s="92"/>
      <c r="O203" s="163" t="s">
        <v>944</v>
      </c>
      <c r="P203" s="163" t="s">
        <v>577</v>
      </c>
      <c r="Q203" s="94" t="s">
        <v>578</v>
      </c>
      <c r="R203" s="90">
        <v>1</v>
      </c>
      <c r="S203" s="90" t="str">
        <f>IFERROR(VLOOKUP(Q203,'Veicamo darbu apraksts'!$B$2:$D$39,2,FALSE),"")</f>
        <v>gab.</v>
      </c>
      <c r="T203" s="124">
        <f>IFERROR(VLOOKUP(Q203,'Veicamo darbu apraksts'!$B$2:$D$39,3,FALSE),"")</f>
        <v>7160</v>
      </c>
      <c r="U203" s="94">
        <f t="shared" si="46"/>
        <v>7160</v>
      </c>
      <c r="V203" s="117">
        <v>350</v>
      </c>
      <c r="W203" s="186">
        <v>1</v>
      </c>
      <c r="X203" s="187">
        <v>4</v>
      </c>
      <c r="Y203" s="317">
        <f t="shared" si="32"/>
        <v>16800</v>
      </c>
      <c r="Z203" s="318">
        <f t="shared" si="38"/>
        <v>16800</v>
      </c>
      <c r="AA203" s="319">
        <f>U202/Y202</f>
        <v>0.83333333333333337</v>
      </c>
      <c r="AB203" s="319">
        <f t="shared" si="44"/>
        <v>0.42619047619047618</v>
      </c>
      <c r="AC203" s="305">
        <v>7</v>
      </c>
    </row>
    <row r="204" spans="1:29" ht="39.6">
      <c r="A204" s="228" t="s">
        <v>130</v>
      </c>
      <c r="B204" s="228" t="s">
        <v>130</v>
      </c>
      <c r="C204" s="222" t="s">
        <v>329</v>
      </c>
      <c r="D204" s="222" t="s">
        <v>945</v>
      </c>
      <c r="E204" s="223" t="s">
        <v>923</v>
      </c>
      <c r="F204" s="201"/>
      <c r="G204" s="121" t="s">
        <v>490</v>
      </c>
      <c r="H204" s="94"/>
      <c r="I204" s="94"/>
      <c r="J204" s="222" t="s">
        <v>849</v>
      </c>
      <c r="K204" s="92"/>
      <c r="L204" s="92"/>
      <c r="M204" s="92"/>
      <c r="N204" s="92"/>
      <c r="O204" s="97" t="s">
        <v>933</v>
      </c>
      <c r="P204" s="97" t="s">
        <v>933</v>
      </c>
      <c r="Q204" s="97" t="s">
        <v>933</v>
      </c>
      <c r="R204" s="90">
        <v>1</v>
      </c>
      <c r="S204" s="90" t="s">
        <v>493</v>
      </c>
      <c r="T204" s="124">
        <f>'Veicamo darbu apraksts'!D43</f>
        <v>20000</v>
      </c>
      <c r="U204" s="94">
        <f t="shared" si="46"/>
        <v>20000</v>
      </c>
      <c r="V204" s="117">
        <v>800</v>
      </c>
      <c r="W204" s="186">
        <v>0.2</v>
      </c>
      <c r="X204" s="187">
        <v>20</v>
      </c>
      <c r="Y204" s="96">
        <f t="shared" ref="Y204:Y229" si="48">V204*W204*X204*12</f>
        <v>38400</v>
      </c>
      <c r="Z204" s="110">
        <f t="shared" si="38"/>
        <v>192000</v>
      </c>
      <c r="AA204" s="105">
        <f t="shared" si="47"/>
        <v>0.52083333333333337</v>
      </c>
      <c r="AB204" s="105">
        <f t="shared" si="44"/>
        <v>0.10416666666666667</v>
      </c>
      <c r="AC204" s="305">
        <v>3</v>
      </c>
    </row>
    <row r="205" spans="1:29" ht="39.6">
      <c r="A205" s="93" t="s">
        <v>131</v>
      </c>
      <c r="B205" s="93" t="s">
        <v>131</v>
      </c>
      <c r="C205" s="97" t="s">
        <v>329</v>
      </c>
      <c r="D205" s="97" t="s">
        <v>946</v>
      </c>
      <c r="E205" s="95" t="s">
        <v>562</v>
      </c>
      <c r="F205" s="201" t="s">
        <v>562</v>
      </c>
      <c r="G205" s="121" t="s">
        <v>490</v>
      </c>
      <c r="H205" s="94"/>
      <c r="I205" s="94"/>
      <c r="J205" s="97" t="s">
        <v>936</v>
      </c>
      <c r="K205" s="92"/>
      <c r="L205" s="92"/>
      <c r="M205" s="92"/>
      <c r="N205" s="92"/>
      <c r="O205" s="97" t="s">
        <v>881</v>
      </c>
      <c r="P205" s="97" t="s">
        <v>881</v>
      </c>
      <c r="Q205" s="97" t="s">
        <v>881</v>
      </c>
      <c r="R205" s="90">
        <v>4.5</v>
      </c>
      <c r="S205" s="90" t="s">
        <v>872</v>
      </c>
      <c r="T205" s="124">
        <f>'Veicamo darbu apraksts'!D42</f>
        <v>10000</v>
      </c>
      <c r="U205" s="94">
        <f>T205</f>
        <v>10000</v>
      </c>
      <c r="V205" s="117">
        <v>500</v>
      </c>
      <c r="W205" s="186">
        <v>1</v>
      </c>
      <c r="X205" s="187">
        <v>1</v>
      </c>
      <c r="Y205" s="96">
        <f t="shared" si="48"/>
        <v>6000</v>
      </c>
      <c r="Z205" s="110">
        <f t="shared" si="38"/>
        <v>6000</v>
      </c>
      <c r="AA205" s="105">
        <f t="shared" si="47"/>
        <v>1.6666666666666667</v>
      </c>
      <c r="AB205" s="105">
        <f t="shared" si="44"/>
        <v>1.6666666666666667</v>
      </c>
      <c r="AC205" s="305">
        <v>7</v>
      </c>
    </row>
    <row r="206" spans="1:29" s="162" customFormat="1" ht="66">
      <c r="A206" s="93" t="s">
        <v>133</v>
      </c>
      <c r="B206" s="93" t="s">
        <v>133</v>
      </c>
      <c r="C206" s="164" t="s">
        <v>329</v>
      </c>
      <c r="D206" s="164" t="s">
        <v>947</v>
      </c>
      <c r="E206" s="202" t="s">
        <v>562</v>
      </c>
      <c r="F206" s="211" t="s">
        <v>518</v>
      </c>
      <c r="G206" s="165" t="s">
        <v>490</v>
      </c>
      <c r="H206" s="169"/>
      <c r="I206" s="167"/>
      <c r="J206" s="166" t="s">
        <v>520</v>
      </c>
      <c r="K206" s="169"/>
      <c r="L206" s="169"/>
      <c r="M206" s="169"/>
      <c r="N206" s="169"/>
      <c r="O206" s="163" t="s">
        <v>948</v>
      </c>
      <c r="P206" s="163" t="s">
        <v>786</v>
      </c>
      <c r="Q206" s="94" t="s">
        <v>503</v>
      </c>
      <c r="R206" s="185">
        <v>10000</v>
      </c>
      <c r="S206" s="90" t="str">
        <f>IFERROR(VLOOKUP(Q206,'Veicamo darbu apraksts'!$B$2:$D$39,2,FALSE),"")</f>
        <v>m2</v>
      </c>
      <c r="T206" s="124">
        <f>IFERROR(VLOOKUP(Q206,'Veicamo darbu apraksts'!$B$2:$D$39,3,FALSE),"")</f>
        <v>42</v>
      </c>
      <c r="U206" s="94">
        <f t="shared" si="46"/>
        <v>420000</v>
      </c>
      <c r="V206" s="169">
        <v>700</v>
      </c>
      <c r="W206" s="193">
        <v>1</v>
      </c>
      <c r="X206" s="193">
        <v>10</v>
      </c>
      <c r="Y206" s="96">
        <f t="shared" si="48"/>
        <v>84000</v>
      </c>
      <c r="Z206" s="110">
        <f t="shared" si="38"/>
        <v>84000</v>
      </c>
      <c r="AA206" s="105">
        <f t="shared" si="47"/>
        <v>5</v>
      </c>
      <c r="AB206" s="105">
        <f t="shared" si="44"/>
        <v>5</v>
      </c>
      <c r="AC206" s="306">
        <v>1</v>
      </c>
    </row>
    <row r="207" spans="1:29" s="162" customFormat="1" ht="79.150000000000006">
      <c r="A207" s="93" t="s">
        <v>134</v>
      </c>
      <c r="B207" s="93" t="s">
        <v>134</v>
      </c>
      <c r="C207" s="164" t="s">
        <v>329</v>
      </c>
      <c r="D207" s="288" t="s">
        <v>949</v>
      </c>
      <c r="E207" s="202" t="s">
        <v>562</v>
      </c>
      <c r="F207" s="211" t="s">
        <v>935</v>
      </c>
      <c r="G207" s="165" t="s">
        <v>490</v>
      </c>
      <c r="H207" s="169"/>
      <c r="I207" s="163"/>
      <c r="J207" s="166" t="s">
        <v>520</v>
      </c>
      <c r="K207" s="169"/>
      <c r="L207" s="169"/>
      <c r="M207" s="169"/>
      <c r="N207" s="169"/>
      <c r="O207" s="289" t="s">
        <v>950</v>
      </c>
      <c r="P207" s="163" t="s">
        <v>786</v>
      </c>
      <c r="Q207" s="94" t="s">
        <v>503</v>
      </c>
      <c r="R207" s="185">
        <v>7300</v>
      </c>
      <c r="S207" s="90" t="str">
        <f>IFERROR(VLOOKUP(Q207,'Veicamo darbu apraksts'!$B$2:$D$39,2,FALSE),"")</f>
        <v>m2</v>
      </c>
      <c r="T207" s="124">
        <f>IFERROR(VLOOKUP(Q207,'Veicamo darbu apraksts'!$B$2:$D$39,3,FALSE),"")</f>
        <v>42</v>
      </c>
      <c r="U207" s="94">
        <f t="shared" si="46"/>
        <v>306600</v>
      </c>
      <c r="V207" s="169">
        <v>700</v>
      </c>
      <c r="W207" s="193">
        <v>1</v>
      </c>
      <c r="X207" s="193">
        <v>10</v>
      </c>
      <c r="Y207" s="96">
        <f t="shared" si="48"/>
        <v>84000</v>
      </c>
      <c r="Z207" s="110">
        <f t="shared" si="38"/>
        <v>84000</v>
      </c>
      <c r="AA207" s="105">
        <f t="shared" si="47"/>
        <v>3.65</v>
      </c>
      <c r="AB207" s="105">
        <f t="shared" si="44"/>
        <v>3.65</v>
      </c>
      <c r="AC207" s="306">
        <v>7</v>
      </c>
    </row>
    <row r="208" spans="1:29" s="162" customFormat="1" ht="79.150000000000006">
      <c r="A208" s="93" t="s">
        <v>135</v>
      </c>
      <c r="B208" s="93" t="s">
        <v>135</v>
      </c>
      <c r="C208" s="164" t="s">
        <v>329</v>
      </c>
      <c r="D208" s="288" t="s">
        <v>951</v>
      </c>
      <c r="E208" s="202">
        <v>80560020435</v>
      </c>
      <c r="F208" s="211" t="s">
        <v>935</v>
      </c>
      <c r="G208" s="165" t="s">
        <v>490</v>
      </c>
      <c r="H208" s="169"/>
      <c r="I208" s="163"/>
      <c r="J208" s="165" t="s">
        <v>469</v>
      </c>
      <c r="K208" s="169"/>
      <c r="L208" s="169"/>
      <c r="M208" s="169"/>
      <c r="N208" s="169"/>
      <c r="O208" s="163" t="s">
        <v>952</v>
      </c>
      <c r="P208" s="163" t="s">
        <v>577</v>
      </c>
      <c r="Q208" s="94" t="s">
        <v>578</v>
      </c>
      <c r="R208" s="185">
        <v>1</v>
      </c>
      <c r="S208" s="90" t="str">
        <f>IFERROR(VLOOKUP(Q208,'Veicamo darbu apraksts'!$B$2:$D$39,2,FALSE),"")</f>
        <v>gab.</v>
      </c>
      <c r="T208" s="124">
        <f>IFERROR(VLOOKUP(Q208,'Veicamo darbu apraksts'!$B$2:$D$39,3,FALSE),"")</f>
        <v>7160</v>
      </c>
      <c r="U208" s="94">
        <f t="shared" si="46"/>
        <v>7160</v>
      </c>
      <c r="V208" s="169">
        <v>600</v>
      </c>
      <c r="W208" s="193">
        <v>1</v>
      </c>
      <c r="X208" s="193">
        <v>4</v>
      </c>
      <c r="Y208" s="96">
        <f t="shared" si="48"/>
        <v>28800</v>
      </c>
      <c r="Z208" s="110">
        <f t="shared" si="38"/>
        <v>28800</v>
      </c>
      <c r="AA208" s="105">
        <f t="shared" si="47"/>
        <v>0.24861111111111112</v>
      </c>
      <c r="AB208" s="105">
        <f t="shared" si="44"/>
        <v>0.24861111111111112</v>
      </c>
      <c r="AC208" s="306">
        <v>7</v>
      </c>
    </row>
    <row r="209" spans="1:29" s="162" customFormat="1" ht="109.15" customHeight="1">
      <c r="A209" s="93" t="s">
        <v>136</v>
      </c>
      <c r="B209" s="93" t="s">
        <v>136</v>
      </c>
      <c r="C209" s="164" t="s">
        <v>329</v>
      </c>
      <c r="D209" s="166" t="s">
        <v>953</v>
      </c>
      <c r="E209" s="202">
        <v>80560020332</v>
      </c>
      <c r="F209" s="211" t="s">
        <v>935</v>
      </c>
      <c r="G209" s="165" t="s">
        <v>490</v>
      </c>
      <c r="H209" s="169"/>
      <c r="I209" s="163"/>
      <c r="J209" s="165" t="s">
        <v>954</v>
      </c>
      <c r="K209" s="169"/>
      <c r="L209" s="169"/>
      <c r="M209" s="169"/>
      <c r="N209" s="169"/>
      <c r="O209" s="163" t="s">
        <v>955</v>
      </c>
      <c r="P209" s="163" t="s">
        <v>577</v>
      </c>
      <c r="Q209" s="94" t="s">
        <v>578</v>
      </c>
      <c r="R209" s="185">
        <v>1</v>
      </c>
      <c r="S209" s="90" t="str">
        <f>IFERROR(VLOOKUP(Q209,'Veicamo darbu apraksts'!$B$2:$D$39,2,FALSE),"")</f>
        <v>gab.</v>
      </c>
      <c r="T209" s="124">
        <f>IFERROR(VLOOKUP(Q209,'Veicamo darbu apraksts'!$B$2:$D$39,3,FALSE),"")</f>
        <v>7160</v>
      </c>
      <c r="U209" s="94">
        <f t="shared" si="46"/>
        <v>7160</v>
      </c>
      <c r="V209" s="169">
        <v>600</v>
      </c>
      <c r="W209" s="193">
        <v>1</v>
      </c>
      <c r="X209" s="193">
        <v>4</v>
      </c>
      <c r="Y209" s="96">
        <f t="shared" si="48"/>
        <v>28800</v>
      </c>
      <c r="Z209" s="110">
        <f t="shared" si="38"/>
        <v>28800</v>
      </c>
      <c r="AA209" s="105">
        <f t="shared" si="47"/>
        <v>0.24861111111111112</v>
      </c>
      <c r="AB209" s="105">
        <f t="shared" si="44"/>
        <v>0.24861111111111112</v>
      </c>
      <c r="AC209" s="306">
        <v>3</v>
      </c>
    </row>
    <row r="210" spans="1:29" s="162" customFormat="1" ht="82.9" customHeight="1">
      <c r="A210" s="93" t="s">
        <v>137</v>
      </c>
      <c r="B210" s="93" t="s">
        <v>137</v>
      </c>
      <c r="C210" s="164" t="s">
        <v>329</v>
      </c>
      <c r="D210" s="164" t="s">
        <v>956</v>
      </c>
      <c r="E210" s="202">
        <v>80560020583</v>
      </c>
      <c r="F210" s="211" t="s">
        <v>385</v>
      </c>
      <c r="G210" s="165" t="s">
        <v>490</v>
      </c>
      <c r="H210" s="169"/>
      <c r="I210" s="163"/>
      <c r="J210" s="165" t="s">
        <v>469</v>
      </c>
      <c r="K210" s="169"/>
      <c r="L210" s="169"/>
      <c r="M210" s="169"/>
      <c r="N210" s="169"/>
      <c r="O210" s="163" t="s">
        <v>957</v>
      </c>
      <c r="P210" s="169" t="s">
        <v>610</v>
      </c>
      <c r="Q210" s="94" t="s">
        <v>611</v>
      </c>
      <c r="R210" s="185">
        <v>1</v>
      </c>
      <c r="S210" s="90" t="str">
        <f>IFERROR(VLOOKUP(Q210,'Veicamo darbu apraksts'!$B$2:$D$39,2,FALSE),"")</f>
        <v>gab.</v>
      </c>
      <c r="T210" s="124">
        <f>IFERROR(VLOOKUP(Q210,'Veicamo darbu apraksts'!$B$2:$D$39,3,FALSE),"")</f>
        <v>30325</v>
      </c>
      <c r="U210" s="94">
        <f t="shared" si="46"/>
        <v>30325</v>
      </c>
      <c r="V210" s="169">
        <v>100</v>
      </c>
      <c r="W210" s="193">
        <v>0.5</v>
      </c>
      <c r="X210" s="193">
        <v>8</v>
      </c>
      <c r="Y210" s="96">
        <f t="shared" si="48"/>
        <v>4800</v>
      </c>
      <c r="Z210" s="110">
        <f t="shared" si="38"/>
        <v>9600</v>
      </c>
      <c r="AA210" s="105">
        <f t="shared" si="47"/>
        <v>6.317708333333333</v>
      </c>
      <c r="AB210" s="105">
        <f t="shared" si="44"/>
        <v>3.1588541666666665</v>
      </c>
      <c r="AC210" s="306">
        <v>2</v>
      </c>
    </row>
    <row r="211" spans="1:29" s="162" customFormat="1" ht="82.9" customHeight="1">
      <c r="A211" s="93" t="s">
        <v>138</v>
      </c>
      <c r="B211" s="93" t="s">
        <v>138</v>
      </c>
      <c r="C211" s="164" t="s">
        <v>329</v>
      </c>
      <c r="D211" s="164" t="s">
        <v>958</v>
      </c>
      <c r="E211" s="202">
        <v>80560020583</v>
      </c>
      <c r="F211" s="211" t="s">
        <v>385</v>
      </c>
      <c r="G211" s="165" t="s">
        <v>490</v>
      </c>
      <c r="H211" s="169"/>
      <c r="I211" s="163"/>
      <c r="J211" s="165" t="s">
        <v>469</v>
      </c>
      <c r="K211" s="169"/>
      <c r="L211" s="169"/>
      <c r="M211" s="169"/>
      <c r="N211" s="169"/>
      <c r="O211" s="163" t="s">
        <v>959</v>
      </c>
      <c r="P211" s="163" t="s">
        <v>614</v>
      </c>
      <c r="Q211" s="94" t="s">
        <v>753</v>
      </c>
      <c r="R211" s="185">
        <v>1</v>
      </c>
      <c r="S211" s="90" t="str">
        <f>IFERROR(VLOOKUP(Q211,'Veicamo darbu apraksts'!$B$2:$D$39,2,FALSE),"")</f>
        <v>gab.</v>
      </c>
      <c r="T211" s="124">
        <f>IFERROR(VLOOKUP(Q211,'Veicamo darbu apraksts'!$B$2:$D$39,3,FALSE),"")</f>
        <v>45100</v>
      </c>
      <c r="U211" s="94">
        <f t="shared" si="46"/>
        <v>45100</v>
      </c>
      <c r="V211" s="169">
        <v>150</v>
      </c>
      <c r="W211" s="193">
        <v>1</v>
      </c>
      <c r="X211" s="193">
        <v>8</v>
      </c>
      <c r="Y211" s="96">
        <f t="shared" si="48"/>
        <v>14400</v>
      </c>
      <c r="Z211" s="110">
        <f t="shared" si="38"/>
        <v>14400</v>
      </c>
      <c r="AA211" s="105">
        <f t="shared" si="47"/>
        <v>3.1319444444444446</v>
      </c>
      <c r="AB211" s="105">
        <f t="shared" si="44"/>
        <v>3.1319444444444446</v>
      </c>
      <c r="AC211" s="306">
        <v>3</v>
      </c>
    </row>
    <row r="212" spans="1:29" s="162" customFormat="1" ht="101.65" customHeight="1">
      <c r="A212" s="93" t="s">
        <v>139</v>
      </c>
      <c r="B212" s="93" t="s">
        <v>139</v>
      </c>
      <c r="C212" s="164" t="s">
        <v>329</v>
      </c>
      <c r="D212" s="164" t="s">
        <v>960</v>
      </c>
      <c r="E212" s="202">
        <v>80560020583</v>
      </c>
      <c r="F212" s="211" t="s">
        <v>385</v>
      </c>
      <c r="G212" s="165" t="s">
        <v>490</v>
      </c>
      <c r="H212" s="169"/>
      <c r="I212" s="163"/>
      <c r="J212" s="165" t="s">
        <v>469</v>
      </c>
      <c r="K212" s="169"/>
      <c r="L212" s="169"/>
      <c r="M212" s="169"/>
      <c r="N212" s="169"/>
      <c r="O212" s="163" t="s">
        <v>961</v>
      </c>
      <c r="P212" s="163" t="s">
        <v>631</v>
      </c>
      <c r="Q212" s="94" t="s">
        <v>568</v>
      </c>
      <c r="R212" s="185">
        <v>10000</v>
      </c>
      <c r="S212" s="90" t="str">
        <f>IFERROR(VLOOKUP(Q212,'Veicamo darbu apraksts'!$B$2:$D$39,2,FALSE),"")</f>
        <v>m2</v>
      </c>
      <c r="T212" s="124">
        <f>IFERROR(VLOOKUP(Q212,'Veicamo darbu apraksts'!$B$2:$D$39,3,FALSE),"")</f>
        <v>50</v>
      </c>
      <c r="U212" s="94">
        <f t="shared" si="46"/>
        <v>500000</v>
      </c>
      <c r="V212" s="169">
        <v>200</v>
      </c>
      <c r="W212" s="193">
        <v>1</v>
      </c>
      <c r="X212" s="193">
        <v>8</v>
      </c>
      <c r="Y212" s="96">
        <f t="shared" si="48"/>
        <v>19200</v>
      </c>
      <c r="Z212" s="110">
        <f t="shared" si="38"/>
        <v>19200</v>
      </c>
      <c r="AA212" s="105">
        <f t="shared" si="47"/>
        <v>26.041666666666668</v>
      </c>
      <c r="AB212" s="105">
        <f t="shared" si="44"/>
        <v>26.041666666666668</v>
      </c>
      <c r="AC212" s="306">
        <v>7</v>
      </c>
    </row>
    <row r="213" spans="1:29" s="162" customFormat="1" ht="54.75" customHeight="1">
      <c r="A213" s="93" t="s">
        <v>140</v>
      </c>
      <c r="B213" s="93" t="s">
        <v>140</v>
      </c>
      <c r="C213" s="164" t="s">
        <v>329</v>
      </c>
      <c r="D213" s="164" t="s">
        <v>962</v>
      </c>
      <c r="E213" s="202">
        <v>80560020269</v>
      </c>
      <c r="F213" s="211" t="s">
        <v>385</v>
      </c>
      <c r="G213" s="165" t="s">
        <v>386</v>
      </c>
      <c r="H213" s="169"/>
      <c r="I213" s="163"/>
      <c r="J213" s="165" t="s">
        <v>469</v>
      </c>
      <c r="K213" s="169"/>
      <c r="L213" s="169"/>
      <c r="M213" s="169"/>
      <c r="N213" s="169"/>
      <c r="O213" s="163" t="s">
        <v>963</v>
      </c>
      <c r="P213" s="169" t="s">
        <v>608</v>
      </c>
      <c r="Q213" s="94" t="s">
        <v>608</v>
      </c>
      <c r="R213" s="185">
        <v>1</v>
      </c>
      <c r="S213" s="90" t="str">
        <f>IFERROR(VLOOKUP(Q213,'Veicamo darbu apraksts'!$B$2:$D$39,2,FALSE),"")</f>
        <v>m2</v>
      </c>
      <c r="T213" s="124">
        <f>IFERROR(VLOOKUP(Q213,'Veicamo darbu apraksts'!$B$2:$D$39,3,FALSE),"")</f>
        <v>50</v>
      </c>
      <c r="U213" s="94">
        <f t="shared" si="46"/>
        <v>50</v>
      </c>
      <c r="V213" s="169">
        <v>400</v>
      </c>
      <c r="W213" s="193">
        <v>1</v>
      </c>
      <c r="X213" s="193">
        <v>15</v>
      </c>
      <c r="Y213" s="96">
        <f t="shared" si="48"/>
        <v>72000</v>
      </c>
      <c r="Z213" s="110">
        <f t="shared" si="38"/>
        <v>72000</v>
      </c>
      <c r="AA213" s="105">
        <f t="shared" si="47"/>
        <v>6.9444444444444447E-4</v>
      </c>
      <c r="AB213" s="105">
        <f t="shared" si="44"/>
        <v>6.9444444444444447E-4</v>
      </c>
      <c r="AC213" s="306">
        <v>1</v>
      </c>
    </row>
    <row r="214" spans="1:29" s="162" customFormat="1" ht="52.9">
      <c r="A214" s="93" t="s">
        <v>141</v>
      </c>
      <c r="B214" s="93" t="s">
        <v>141</v>
      </c>
      <c r="C214" s="164" t="s">
        <v>329</v>
      </c>
      <c r="D214" s="166" t="s">
        <v>964</v>
      </c>
      <c r="E214" s="202">
        <v>80560010279</v>
      </c>
      <c r="F214" s="212" t="s">
        <v>518</v>
      </c>
      <c r="G214" s="165" t="s">
        <v>386</v>
      </c>
      <c r="H214" s="169"/>
      <c r="I214" s="163"/>
      <c r="J214" s="165" t="s">
        <v>546</v>
      </c>
      <c r="K214" s="169"/>
      <c r="L214" s="169"/>
      <c r="M214" s="169"/>
      <c r="N214" s="169"/>
      <c r="O214" s="168" t="s">
        <v>741</v>
      </c>
      <c r="P214" s="169" t="s">
        <v>764</v>
      </c>
      <c r="Q214" s="94" t="s">
        <v>764</v>
      </c>
      <c r="R214" s="185">
        <v>1</v>
      </c>
      <c r="S214" s="90" t="str">
        <f>IFERROR(VLOOKUP(Q214,'Veicamo darbu apraksts'!$B$2:$D$39,2,FALSE),"")</f>
        <v>gab.</v>
      </c>
      <c r="T214" s="124">
        <f>IFERROR(VLOOKUP(Q214,'Veicamo darbu apraksts'!$B$2:$D$39,3,FALSE),"")</f>
        <v>6890</v>
      </c>
      <c r="U214" s="94">
        <f t="shared" si="46"/>
        <v>6890</v>
      </c>
      <c r="V214" s="169">
        <v>50</v>
      </c>
      <c r="W214" s="193">
        <v>0.3</v>
      </c>
      <c r="X214" s="193">
        <v>8</v>
      </c>
      <c r="Y214" s="96">
        <f t="shared" si="48"/>
        <v>1440</v>
      </c>
      <c r="Z214" s="110">
        <f t="shared" si="38"/>
        <v>4800</v>
      </c>
      <c r="AA214" s="105">
        <f t="shared" si="47"/>
        <v>4.7847222222222223</v>
      </c>
      <c r="AB214" s="105">
        <f t="shared" si="44"/>
        <v>1.4354166666666666</v>
      </c>
      <c r="AC214" s="306">
        <v>1</v>
      </c>
    </row>
    <row r="215" spans="1:29" s="162" customFormat="1" ht="52.9">
      <c r="A215" s="93" t="s">
        <v>142</v>
      </c>
      <c r="B215" s="93" t="s">
        <v>142</v>
      </c>
      <c r="C215" s="164" t="s">
        <v>329</v>
      </c>
      <c r="D215" s="166" t="s">
        <v>965</v>
      </c>
      <c r="E215" s="202">
        <v>80560010279</v>
      </c>
      <c r="F215" s="212" t="s">
        <v>518</v>
      </c>
      <c r="G215" s="165" t="s">
        <v>386</v>
      </c>
      <c r="H215" s="169"/>
      <c r="I215" s="163"/>
      <c r="J215" s="165" t="s">
        <v>546</v>
      </c>
      <c r="K215" s="169"/>
      <c r="L215" s="169"/>
      <c r="M215" s="169"/>
      <c r="N215" s="169"/>
      <c r="O215" s="168" t="s">
        <v>741</v>
      </c>
      <c r="P215" s="169" t="s">
        <v>764</v>
      </c>
      <c r="Q215" s="94" t="s">
        <v>764</v>
      </c>
      <c r="R215" s="185">
        <v>1</v>
      </c>
      <c r="S215" s="90" t="str">
        <f>IFERROR(VLOOKUP(Q215,'Veicamo darbu apraksts'!$B$2:$D$39,2,FALSE),"")</f>
        <v>gab.</v>
      </c>
      <c r="T215" s="124">
        <f>IFERROR(VLOOKUP(Q215,'Veicamo darbu apraksts'!$B$2:$D$39,3,FALSE),"")</f>
        <v>6890</v>
      </c>
      <c r="U215" s="94">
        <f t="shared" si="46"/>
        <v>6890</v>
      </c>
      <c r="V215" s="169">
        <v>50</v>
      </c>
      <c r="W215" s="193">
        <v>0.3</v>
      </c>
      <c r="X215" s="193">
        <v>8</v>
      </c>
      <c r="Y215" s="96">
        <f t="shared" si="48"/>
        <v>1440</v>
      </c>
      <c r="Z215" s="110">
        <f t="shared" si="38"/>
        <v>4800</v>
      </c>
      <c r="AA215" s="105">
        <f t="shared" si="47"/>
        <v>4.7847222222222223</v>
      </c>
      <c r="AB215" s="105">
        <f t="shared" si="44"/>
        <v>1.4354166666666666</v>
      </c>
      <c r="AC215" s="306">
        <v>1</v>
      </c>
    </row>
    <row r="216" spans="1:29" s="162" customFormat="1" ht="52.9">
      <c r="A216" s="93" t="s">
        <v>143</v>
      </c>
      <c r="B216" s="93" t="s">
        <v>143</v>
      </c>
      <c r="C216" s="164" t="s">
        <v>329</v>
      </c>
      <c r="D216" s="166" t="s">
        <v>966</v>
      </c>
      <c r="E216" s="202">
        <v>80560010279</v>
      </c>
      <c r="F216" s="212" t="s">
        <v>518</v>
      </c>
      <c r="G216" s="165" t="s">
        <v>386</v>
      </c>
      <c r="H216" s="169"/>
      <c r="I216" s="163"/>
      <c r="J216" s="165" t="s">
        <v>546</v>
      </c>
      <c r="K216" s="169"/>
      <c r="L216" s="169"/>
      <c r="M216" s="169"/>
      <c r="N216" s="169"/>
      <c r="O216" s="168" t="s">
        <v>741</v>
      </c>
      <c r="P216" s="169" t="s">
        <v>764</v>
      </c>
      <c r="Q216" s="94" t="s">
        <v>764</v>
      </c>
      <c r="R216" s="185">
        <v>1</v>
      </c>
      <c r="S216" s="90" t="str">
        <f>IFERROR(VLOOKUP(Q216,'Veicamo darbu apraksts'!$B$2:$D$39,2,FALSE),"")</f>
        <v>gab.</v>
      </c>
      <c r="T216" s="124">
        <f>IFERROR(VLOOKUP(Q216,'Veicamo darbu apraksts'!$B$2:$D$39,3,FALSE),"")</f>
        <v>6890</v>
      </c>
      <c r="U216" s="94">
        <f t="shared" si="46"/>
        <v>6890</v>
      </c>
      <c r="V216" s="169">
        <v>50</v>
      </c>
      <c r="W216" s="193">
        <v>0.3</v>
      </c>
      <c r="X216" s="193">
        <v>8</v>
      </c>
      <c r="Y216" s="96">
        <f t="shared" si="48"/>
        <v>1440</v>
      </c>
      <c r="Z216" s="110">
        <f t="shared" si="38"/>
        <v>4800</v>
      </c>
      <c r="AA216" s="105">
        <f t="shared" si="47"/>
        <v>4.7847222222222223</v>
      </c>
      <c r="AB216" s="105">
        <f t="shared" si="44"/>
        <v>1.4354166666666666</v>
      </c>
      <c r="AC216" s="306">
        <v>1</v>
      </c>
    </row>
    <row r="217" spans="1:29" s="162" customFormat="1" ht="39.6">
      <c r="A217" s="93" t="s">
        <v>144</v>
      </c>
      <c r="B217" s="93" t="s">
        <v>144</v>
      </c>
      <c r="C217" s="164" t="s">
        <v>329</v>
      </c>
      <c r="D217" s="166" t="s">
        <v>967</v>
      </c>
      <c r="E217" s="202">
        <v>80560010279</v>
      </c>
      <c r="F217" s="212" t="s">
        <v>518</v>
      </c>
      <c r="G217" s="165" t="s">
        <v>386</v>
      </c>
      <c r="H217" s="169"/>
      <c r="I217" s="163"/>
      <c r="J217" s="165" t="s">
        <v>546</v>
      </c>
      <c r="K217" s="169"/>
      <c r="L217" s="169"/>
      <c r="M217" s="169"/>
      <c r="N217" s="169"/>
      <c r="O217" s="163" t="s">
        <v>968</v>
      </c>
      <c r="P217" s="169" t="s">
        <v>764</v>
      </c>
      <c r="Q217" s="94" t="s">
        <v>764</v>
      </c>
      <c r="R217" s="185">
        <v>1</v>
      </c>
      <c r="S217" s="90" t="str">
        <f>IFERROR(VLOOKUP(Q217,'Veicamo darbu apraksts'!$B$2:$D$39,2,FALSE),"")</f>
        <v>gab.</v>
      </c>
      <c r="T217" s="124">
        <f>IFERROR(VLOOKUP(Q217,'Veicamo darbu apraksts'!$B$2:$D$39,3,FALSE),"")</f>
        <v>6890</v>
      </c>
      <c r="U217" s="94">
        <f t="shared" si="46"/>
        <v>6890</v>
      </c>
      <c r="V217" s="169">
        <v>200</v>
      </c>
      <c r="W217" s="193">
        <v>0.3</v>
      </c>
      <c r="X217" s="193">
        <v>8</v>
      </c>
      <c r="Y217" s="96">
        <f t="shared" si="48"/>
        <v>5760</v>
      </c>
      <c r="Z217" s="110">
        <f t="shared" si="38"/>
        <v>19200</v>
      </c>
      <c r="AA217" s="105">
        <f t="shared" si="47"/>
        <v>1.1961805555555556</v>
      </c>
      <c r="AB217" s="105">
        <f t="shared" si="44"/>
        <v>0.35885416666666664</v>
      </c>
      <c r="AC217" s="306">
        <v>1</v>
      </c>
    </row>
    <row r="218" spans="1:29" s="162" customFormat="1" ht="52.9">
      <c r="A218" s="93" t="s">
        <v>146</v>
      </c>
      <c r="B218" s="93" t="s">
        <v>146</v>
      </c>
      <c r="C218" s="164" t="s">
        <v>329</v>
      </c>
      <c r="D218" s="166" t="s">
        <v>969</v>
      </c>
      <c r="E218" s="202">
        <v>80560010279</v>
      </c>
      <c r="F218" s="212" t="s">
        <v>518</v>
      </c>
      <c r="G218" s="165" t="s">
        <v>386</v>
      </c>
      <c r="H218" s="169"/>
      <c r="I218" s="163"/>
      <c r="J218" s="165" t="s">
        <v>546</v>
      </c>
      <c r="K218" s="169"/>
      <c r="L218" s="169"/>
      <c r="M218" s="169"/>
      <c r="N218" s="169"/>
      <c r="O218" s="163" t="s">
        <v>970</v>
      </c>
      <c r="P218" s="169" t="s">
        <v>971</v>
      </c>
      <c r="Q218" s="94" t="s">
        <v>971</v>
      </c>
      <c r="R218" s="185">
        <v>1</v>
      </c>
      <c r="S218" s="90" t="str">
        <f>IFERROR(VLOOKUP(Q218,'Veicamo darbu apraksts'!$B$2:$D$39,2,FALSE),"")</f>
        <v>gab.</v>
      </c>
      <c r="T218" s="124">
        <f>IFERROR(VLOOKUP(Q218,'Veicamo darbu apraksts'!$B$2:$D$39,3,FALSE),"")</f>
        <v>4295</v>
      </c>
      <c r="U218" s="94">
        <f t="shared" si="46"/>
        <v>4295</v>
      </c>
      <c r="V218" s="169">
        <v>200</v>
      </c>
      <c r="W218" s="193">
        <v>0.3</v>
      </c>
      <c r="X218" s="193">
        <v>8</v>
      </c>
      <c r="Y218" s="96">
        <f t="shared" si="48"/>
        <v>5760</v>
      </c>
      <c r="Z218" s="110">
        <f t="shared" si="38"/>
        <v>19200</v>
      </c>
      <c r="AA218" s="105">
        <f t="shared" si="47"/>
        <v>0.74565972222222221</v>
      </c>
      <c r="AB218" s="105">
        <f t="shared" si="44"/>
        <v>0.22369791666666666</v>
      </c>
      <c r="AC218" s="306">
        <v>1</v>
      </c>
    </row>
    <row r="219" spans="1:29" s="162" customFormat="1" ht="52.9">
      <c r="A219" s="93" t="s">
        <v>148</v>
      </c>
      <c r="B219" s="93" t="s">
        <v>148</v>
      </c>
      <c r="C219" s="164" t="s">
        <v>329</v>
      </c>
      <c r="D219" s="164" t="s">
        <v>972</v>
      </c>
      <c r="E219" s="202">
        <v>80560020573</v>
      </c>
      <c r="F219" s="212" t="s">
        <v>385</v>
      </c>
      <c r="G219" s="165" t="s">
        <v>386</v>
      </c>
      <c r="H219" s="169"/>
      <c r="I219" s="163"/>
      <c r="J219" s="166" t="s">
        <v>520</v>
      </c>
      <c r="K219" s="169"/>
      <c r="L219" s="169"/>
      <c r="M219" s="169"/>
      <c r="N219" s="169"/>
      <c r="O219" s="163" t="s">
        <v>973</v>
      </c>
      <c r="P219" s="169" t="s">
        <v>503</v>
      </c>
      <c r="Q219" s="94" t="s">
        <v>503</v>
      </c>
      <c r="R219" s="185">
        <v>2000</v>
      </c>
      <c r="S219" s="90" t="str">
        <f>IFERROR(VLOOKUP(Q219,'Veicamo darbu apraksts'!$B$2:$D$39,2,FALSE),"")</f>
        <v>m2</v>
      </c>
      <c r="T219" s="124">
        <f>IFERROR(VLOOKUP(Q219,'Veicamo darbu apraksts'!$B$2:$D$39,3,FALSE),"")</f>
        <v>42</v>
      </c>
      <c r="U219" s="94">
        <f t="shared" si="46"/>
        <v>84000</v>
      </c>
      <c r="V219" s="169">
        <v>200</v>
      </c>
      <c r="W219" s="193">
        <v>0.5</v>
      </c>
      <c r="X219" s="193">
        <v>10</v>
      </c>
      <c r="Y219" s="96">
        <f t="shared" si="48"/>
        <v>12000</v>
      </c>
      <c r="Z219" s="110">
        <f t="shared" si="38"/>
        <v>24000</v>
      </c>
      <c r="AA219" s="105">
        <f t="shared" si="47"/>
        <v>7</v>
      </c>
      <c r="AB219" s="105">
        <f t="shared" si="44"/>
        <v>3.5</v>
      </c>
      <c r="AC219" s="306">
        <v>7</v>
      </c>
    </row>
    <row r="220" spans="1:29" s="162" customFormat="1" ht="52.9">
      <c r="A220" s="93" t="s">
        <v>149</v>
      </c>
      <c r="B220" s="93" t="s">
        <v>149</v>
      </c>
      <c r="C220" s="164" t="s">
        <v>329</v>
      </c>
      <c r="D220" s="164" t="s">
        <v>974</v>
      </c>
      <c r="E220" s="202">
        <v>80560020573</v>
      </c>
      <c r="F220" s="212" t="s">
        <v>385</v>
      </c>
      <c r="G220" s="165" t="s">
        <v>386</v>
      </c>
      <c r="H220" s="169"/>
      <c r="I220" s="163"/>
      <c r="J220" s="166" t="s">
        <v>520</v>
      </c>
      <c r="K220" s="169"/>
      <c r="L220" s="169"/>
      <c r="M220" s="169"/>
      <c r="N220" s="169"/>
      <c r="O220" s="163" t="s">
        <v>973</v>
      </c>
      <c r="P220" s="169" t="s">
        <v>503</v>
      </c>
      <c r="Q220" s="94" t="s">
        <v>503</v>
      </c>
      <c r="R220" s="185">
        <v>3000</v>
      </c>
      <c r="S220" s="90" t="str">
        <f>IFERROR(VLOOKUP(Q220,'Veicamo darbu apraksts'!$B$2:$D$39,2,FALSE),"")</f>
        <v>m2</v>
      </c>
      <c r="T220" s="124">
        <f>IFERROR(VLOOKUP(Q220,'Veicamo darbu apraksts'!$B$2:$D$39,3,FALSE),"")</f>
        <v>42</v>
      </c>
      <c r="U220" s="94">
        <f t="shared" si="46"/>
        <v>126000</v>
      </c>
      <c r="V220" s="169">
        <v>200</v>
      </c>
      <c r="W220" s="193">
        <v>0.5</v>
      </c>
      <c r="X220" s="193">
        <v>10</v>
      </c>
      <c r="Y220" s="96">
        <f t="shared" si="48"/>
        <v>12000</v>
      </c>
      <c r="Z220" s="110">
        <f t="shared" si="38"/>
        <v>24000</v>
      </c>
      <c r="AA220" s="105">
        <f t="shared" si="47"/>
        <v>10.5</v>
      </c>
      <c r="AB220" s="105">
        <f t="shared" si="44"/>
        <v>5.25</v>
      </c>
      <c r="AC220" s="306">
        <v>7</v>
      </c>
    </row>
    <row r="221" spans="1:29" s="162" customFormat="1" ht="49.5" customHeight="1">
      <c r="A221" s="93" t="s">
        <v>150</v>
      </c>
      <c r="B221" s="93" t="s">
        <v>150</v>
      </c>
      <c r="C221" s="164" t="s">
        <v>329</v>
      </c>
      <c r="D221" s="164" t="s">
        <v>975</v>
      </c>
      <c r="E221" s="202">
        <v>80560020271</v>
      </c>
      <c r="F221" s="212" t="s">
        <v>385</v>
      </c>
      <c r="G221" s="94" t="s">
        <v>490</v>
      </c>
      <c r="I221" s="163"/>
      <c r="J221" s="166" t="s">
        <v>757</v>
      </c>
      <c r="K221" s="169"/>
      <c r="L221" s="169"/>
      <c r="M221" s="169"/>
      <c r="N221" s="169"/>
      <c r="O221" s="163" t="s">
        <v>773</v>
      </c>
      <c r="P221" s="169" t="s">
        <v>577</v>
      </c>
      <c r="Q221" s="94" t="s">
        <v>578</v>
      </c>
      <c r="R221" s="185">
        <v>1</v>
      </c>
      <c r="S221" s="90" t="str">
        <f>IFERROR(VLOOKUP(Q221,'Veicamo darbu apraksts'!$B$2:$D$39,2,FALSE),"")</f>
        <v>gab.</v>
      </c>
      <c r="T221" s="124">
        <f>IFERROR(VLOOKUP(Q221,'Veicamo darbu apraksts'!$B$2:$D$39,3,FALSE),"")</f>
        <v>7160</v>
      </c>
      <c r="U221" s="94">
        <f t="shared" si="46"/>
        <v>7160</v>
      </c>
      <c r="V221" s="169">
        <v>500</v>
      </c>
      <c r="W221" s="193">
        <v>1</v>
      </c>
      <c r="X221" s="193">
        <v>5</v>
      </c>
      <c r="Y221" s="96">
        <f t="shared" si="48"/>
        <v>30000</v>
      </c>
      <c r="Z221" s="110">
        <f t="shared" si="38"/>
        <v>30000</v>
      </c>
      <c r="AA221" s="105">
        <f t="shared" si="47"/>
        <v>0.23866666666666667</v>
      </c>
      <c r="AB221" s="105">
        <f t="shared" si="44"/>
        <v>0.23866666666666667</v>
      </c>
      <c r="AC221" s="306">
        <v>2</v>
      </c>
    </row>
    <row r="222" spans="1:29" s="162" customFormat="1" ht="38.65" customHeight="1">
      <c r="A222" s="93" t="s">
        <v>151</v>
      </c>
      <c r="B222" s="93" t="s">
        <v>151</v>
      </c>
      <c r="C222" s="164" t="s">
        <v>329</v>
      </c>
      <c r="D222" s="164" t="s">
        <v>571</v>
      </c>
      <c r="E222" s="202">
        <v>80560020264</v>
      </c>
      <c r="F222" s="212" t="s">
        <v>385</v>
      </c>
      <c r="G222" s="94" t="s">
        <v>490</v>
      </c>
      <c r="H222" s="169"/>
      <c r="I222" s="163"/>
      <c r="J222" s="166" t="s">
        <v>570</v>
      </c>
      <c r="K222" s="169"/>
      <c r="L222" s="169"/>
      <c r="M222" s="169"/>
      <c r="N222" s="169"/>
      <c r="O222" s="163" t="s">
        <v>571</v>
      </c>
      <c r="P222" s="97" t="s">
        <v>506</v>
      </c>
      <c r="Q222" s="97" t="s">
        <v>506</v>
      </c>
      <c r="R222" s="185">
        <v>1</v>
      </c>
      <c r="S222" s="90" t="s">
        <v>493</v>
      </c>
      <c r="T222" s="124">
        <f>IFERROR(VLOOKUP(Q222,'Veicamo darbu apraksts'!$B$2:$D$39,3,FALSE),"")</f>
        <v>15000</v>
      </c>
      <c r="U222" s="94">
        <f t="shared" si="46"/>
        <v>15000</v>
      </c>
      <c r="V222" s="169">
        <v>100</v>
      </c>
      <c r="W222" s="193">
        <v>0.5</v>
      </c>
      <c r="X222" s="193">
        <v>0.5</v>
      </c>
      <c r="Y222" s="317">
        <f t="shared" si="48"/>
        <v>300</v>
      </c>
      <c r="Z222" s="318">
        <f t="shared" si="38"/>
        <v>600</v>
      </c>
      <c r="AA222" s="319">
        <f t="shared" si="47"/>
        <v>50</v>
      </c>
      <c r="AB222" s="319">
        <f t="shared" si="44"/>
        <v>25</v>
      </c>
      <c r="AC222" s="306">
        <v>3</v>
      </c>
    </row>
    <row r="223" spans="1:29" s="162" customFormat="1" ht="38.65" customHeight="1">
      <c r="A223" s="93" t="s">
        <v>152</v>
      </c>
      <c r="B223" s="93" t="s">
        <v>152</v>
      </c>
      <c r="C223" s="164" t="s">
        <v>329</v>
      </c>
      <c r="D223" s="97" t="s">
        <v>976</v>
      </c>
      <c r="E223" s="95">
        <v>80250020191</v>
      </c>
      <c r="F223" s="201" t="s">
        <v>518</v>
      </c>
      <c r="G223" s="94" t="s">
        <v>490</v>
      </c>
      <c r="H223" s="94"/>
      <c r="I223" s="94"/>
      <c r="J223" s="97" t="s">
        <v>546</v>
      </c>
      <c r="K223" s="92"/>
      <c r="L223" s="92"/>
      <c r="M223" s="92"/>
      <c r="N223" s="92"/>
      <c r="O223" s="97" t="s">
        <v>977</v>
      </c>
      <c r="P223" s="94" t="s">
        <v>467</v>
      </c>
      <c r="Q223" s="94" t="s">
        <v>467</v>
      </c>
      <c r="R223" s="185">
        <v>1</v>
      </c>
      <c r="S223" s="90" t="str">
        <f>IFERROR(VLOOKUP(Q223,'Veicamo darbu apraksts'!$B$2:$D$39,2,FALSE),"")</f>
        <v>gab.</v>
      </c>
      <c r="T223" s="124">
        <f>IFERROR(VLOOKUP(Q223,'Veicamo darbu apraksts'!$B$2:$D$39,3,FALSE),"")</f>
        <v>3150</v>
      </c>
      <c r="U223" s="94">
        <f t="shared" si="46"/>
        <v>3150</v>
      </c>
      <c r="V223" s="169">
        <v>50</v>
      </c>
      <c r="W223" s="193">
        <v>0.3</v>
      </c>
      <c r="X223" s="193">
        <v>5</v>
      </c>
      <c r="Y223" s="317">
        <f t="shared" si="48"/>
        <v>900</v>
      </c>
      <c r="Z223" s="318">
        <f t="shared" si="38"/>
        <v>3000</v>
      </c>
      <c r="AA223" s="319">
        <f t="shared" si="47"/>
        <v>3.5</v>
      </c>
      <c r="AB223" s="319">
        <f t="shared" si="44"/>
        <v>1.05</v>
      </c>
      <c r="AC223" s="306">
        <v>2</v>
      </c>
    </row>
    <row r="224" spans="1:29" ht="26.45">
      <c r="A224" s="93" t="s">
        <v>238</v>
      </c>
      <c r="B224" s="93" t="s">
        <v>238</v>
      </c>
      <c r="C224" s="97" t="s">
        <v>978</v>
      </c>
      <c r="D224" s="222" t="s">
        <v>979</v>
      </c>
      <c r="E224" s="223" t="s">
        <v>923</v>
      </c>
      <c r="F224" s="201"/>
      <c r="G224" s="94" t="s">
        <v>490</v>
      </c>
      <c r="H224" s="94"/>
      <c r="I224" s="94"/>
      <c r="J224" s="222" t="s">
        <v>849</v>
      </c>
      <c r="K224" s="92"/>
      <c r="L224" s="92"/>
      <c r="M224" s="92"/>
      <c r="N224" s="92"/>
      <c r="O224" s="97" t="s">
        <v>933</v>
      </c>
      <c r="P224" s="97" t="s">
        <v>933</v>
      </c>
      <c r="Q224" s="97" t="s">
        <v>933</v>
      </c>
      <c r="R224" s="90">
        <v>1</v>
      </c>
      <c r="S224" s="90" t="s">
        <v>493</v>
      </c>
      <c r="T224" s="124" t="str">
        <f>IFERROR(VLOOKUP(Q224,'Veicamo darbu apraksts'!$B$2:$D$39,3,FALSE),"")</f>
        <v/>
      </c>
      <c r="U224" s="94">
        <f t="shared" si="46"/>
        <v>0</v>
      </c>
      <c r="V224" s="117">
        <v>150</v>
      </c>
      <c r="W224" s="186">
        <v>0.2</v>
      </c>
      <c r="X224" s="187">
        <v>20</v>
      </c>
      <c r="Y224" s="96">
        <f t="shared" si="48"/>
        <v>7200</v>
      </c>
      <c r="Z224" s="110">
        <f t="shared" si="38"/>
        <v>36000</v>
      </c>
      <c r="AA224" s="105">
        <f t="shared" si="47"/>
        <v>0</v>
      </c>
      <c r="AB224" s="105">
        <f t="shared" si="44"/>
        <v>0</v>
      </c>
      <c r="AC224" s="305">
        <v>3</v>
      </c>
    </row>
    <row r="225" spans="1:29" ht="82.9" customHeight="1">
      <c r="A225" s="93" t="s">
        <v>239</v>
      </c>
      <c r="B225" s="93" t="s">
        <v>239</v>
      </c>
      <c r="C225" s="97" t="s">
        <v>978</v>
      </c>
      <c r="D225" s="97" t="s">
        <v>980</v>
      </c>
      <c r="E225" s="95">
        <v>80700160021</v>
      </c>
      <c r="F225" s="201" t="s">
        <v>425</v>
      </c>
      <c r="G225" s="165" t="s">
        <v>386</v>
      </c>
      <c r="H225" s="94"/>
      <c r="I225" s="94"/>
      <c r="J225" s="94" t="s">
        <v>434</v>
      </c>
      <c r="K225" s="92"/>
      <c r="L225" s="92"/>
      <c r="M225" s="92"/>
      <c r="N225" s="92"/>
      <c r="O225" s="97" t="s">
        <v>981</v>
      </c>
      <c r="P225" s="97" t="s">
        <v>982</v>
      </c>
      <c r="Q225" s="94" t="s">
        <v>939</v>
      </c>
      <c r="R225" s="90">
        <v>1</v>
      </c>
      <c r="S225" s="90" t="str">
        <f>IFERROR(VLOOKUP(Q225,'Veicamo darbu apraksts'!$B$2:$D$39,2,FALSE),"")</f>
        <v>gab.</v>
      </c>
      <c r="T225" s="124">
        <f>IFERROR(VLOOKUP(Q225,'Veicamo darbu apraksts'!$B$2:$D$39,3,FALSE),"")</f>
        <v>13625</v>
      </c>
      <c r="U225" s="94">
        <f t="shared" si="46"/>
        <v>13625</v>
      </c>
      <c r="V225" s="117">
        <v>50</v>
      </c>
      <c r="W225" s="186">
        <v>1</v>
      </c>
      <c r="X225" s="187">
        <v>10</v>
      </c>
      <c r="Y225" s="96">
        <f t="shared" si="48"/>
        <v>6000</v>
      </c>
      <c r="Z225" s="110">
        <f t="shared" si="38"/>
        <v>6000</v>
      </c>
      <c r="AA225" s="105">
        <f t="shared" si="47"/>
        <v>2.2708333333333335</v>
      </c>
      <c r="AB225" s="105">
        <f t="shared" si="44"/>
        <v>2.2708333333333335</v>
      </c>
      <c r="AC225" s="305">
        <v>1</v>
      </c>
    </row>
    <row r="226" spans="1:29" ht="82.9" customHeight="1">
      <c r="A226" s="93" t="s">
        <v>240</v>
      </c>
      <c r="B226" s="93" t="s">
        <v>240</v>
      </c>
      <c r="C226" s="97" t="s">
        <v>978</v>
      </c>
      <c r="D226" s="97" t="s">
        <v>983</v>
      </c>
      <c r="E226" s="95" t="s">
        <v>984</v>
      </c>
      <c r="F226" s="201" t="s">
        <v>385</v>
      </c>
      <c r="G226" s="165" t="s">
        <v>386</v>
      </c>
      <c r="H226" s="94"/>
      <c r="I226" s="94"/>
      <c r="J226" s="94" t="s">
        <v>434</v>
      </c>
      <c r="K226" s="92"/>
      <c r="L226" s="92"/>
      <c r="M226" s="92"/>
      <c r="N226" s="92"/>
      <c r="O226" s="97" t="s">
        <v>981</v>
      </c>
      <c r="P226" s="97" t="s">
        <v>982</v>
      </c>
      <c r="Q226" s="94" t="s">
        <v>939</v>
      </c>
      <c r="R226" s="90">
        <v>1</v>
      </c>
      <c r="S226" s="90" t="str">
        <f>IFERROR(VLOOKUP(Q226,'Veicamo darbu apraksts'!$B$2:$D$39,2,FALSE),"")</f>
        <v>gab.</v>
      </c>
      <c r="T226" s="124">
        <f>IFERROR(VLOOKUP(Q226,'Veicamo darbu apraksts'!$B$2:$D$39,3,FALSE),"")</f>
        <v>13625</v>
      </c>
      <c r="U226" s="94">
        <f t="shared" si="46"/>
        <v>13625</v>
      </c>
      <c r="V226" s="117">
        <v>50</v>
      </c>
      <c r="W226" s="186">
        <v>1</v>
      </c>
      <c r="X226" s="187">
        <v>10</v>
      </c>
      <c r="Y226" s="96">
        <f t="shared" si="48"/>
        <v>6000</v>
      </c>
      <c r="Z226" s="110">
        <f t="shared" si="38"/>
        <v>6000</v>
      </c>
      <c r="AA226" s="105">
        <f t="shared" si="47"/>
        <v>2.2708333333333335</v>
      </c>
      <c r="AB226" s="105">
        <f t="shared" si="44"/>
        <v>2.2708333333333335</v>
      </c>
      <c r="AC226" s="305">
        <v>2</v>
      </c>
    </row>
    <row r="227" spans="1:29" ht="26.45">
      <c r="A227" s="93" t="s">
        <v>241</v>
      </c>
      <c r="B227" s="93" t="s">
        <v>241</v>
      </c>
      <c r="C227" s="97" t="s">
        <v>978</v>
      </c>
      <c r="D227" s="97" t="s">
        <v>985</v>
      </c>
      <c r="E227" s="95">
        <v>80700140137</v>
      </c>
      <c r="F227" s="201" t="s">
        <v>518</v>
      </c>
      <c r="G227" s="94" t="s">
        <v>490</v>
      </c>
      <c r="H227" s="94"/>
      <c r="I227" s="94"/>
      <c r="J227" s="94" t="s">
        <v>570</v>
      </c>
      <c r="K227" s="92"/>
      <c r="L227" s="92"/>
      <c r="M227" s="92"/>
      <c r="N227" s="92"/>
      <c r="O227" s="97" t="s">
        <v>571</v>
      </c>
      <c r="P227" s="97" t="s">
        <v>506</v>
      </c>
      <c r="Q227" s="97" t="s">
        <v>506</v>
      </c>
      <c r="R227" s="90">
        <v>1</v>
      </c>
      <c r="S227" s="90" t="s">
        <v>493</v>
      </c>
      <c r="T227" s="124">
        <f>IFERROR(VLOOKUP(Q227,'Veicamo darbu apraksts'!$B$2:$D$39,3,FALSE),"")</f>
        <v>15000</v>
      </c>
      <c r="U227" s="94">
        <f t="shared" si="46"/>
        <v>15000</v>
      </c>
      <c r="V227" s="117">
        <v>20</v>
      </c>
      <c r="W227" s="186">
        <v>0.5</v>
      </c>
      <c r="X227" s="187">
        <v>0.5</v>
      </c>
      <c r="Y227" s="317">
        <f t="shared" si="48"/>
        <v>60</v>
      </c>
      <c r="Z227" s="318">
        <f t="shared" si="38"/>
        <v>120</v>
      </c>
      <c r="AA227" s="319">
        <f t="shared" si="47"/>
        <v>250</v>
      </c>
      <c r="AB227" s="319">
        <f t="shared" si="44"/>
        <v>125</v>
      </c>
      <c r="AC227" s="305">
        <v>3</v>
      </c>
    </row>
    <row r="228" spans="1:29" ht="39.6">
      <c r="A228" s="310" t="s">
        <v>164</v>
      </c>
      <c r="B228" s="310" t="s">
        <v>164</v>
      </c>
      <c r="C228" s="214" t="s">
        <v>331</v>
      </c>
      <c r="D228" s="214" t="s">
        <v>986</v>
      </c>
      <c r="E228" s="95">
        <v>80800190316</v>
      </c>
      <c r="F228" s="201" t="s">
        <v>518</v>
      </c>
      <c r="G228" s="165" t="s">
        <v>386</v>
      </c>
      <c r="H228" s="94"/>
      <c r="I228" s="94"/>
      <c r="J228" s="166" t="s">
        <v>520</v>
      </c>
      <c r="K228" s="92"/>
      <c r="L228" s="92"/>
      <c r="M228" s="92"/>
      <c r="N228" s="92"/>
      <c r="O228" s="97" t="s">
        <v>987</v>
      </c>
      <c r="P228" s="97" t="s">
        <v>987</v>
      </c>
      <c r="Q228" s="97" t="s">
        <v>988</v>
      </c>
      <c r="R228" s="90">
        <v>4000</v>
      </c>
      <c r="S228" s="90" t="s">
        <v>838</v>
      </c>
      <c r="T228" s="124" t="str">
        <f>IFERROR(VLOOKUP(Q228,'Veicamo darbu apraksts'!$B$2:$D$39,3,FALSE),"")</f>
        <v/>
      </c>
      <c r="U228" s="94">
        <v>20000</v>
      </c>
      <c r="V228" s="117">
        <v>600</v>
      </c>
      <c r="W228" s="186">
        <v>0.2</v>
      </c>
      <c r="X228" s="187">
        <v>25</v>
      </c>
      <c r="Y228" s="96">
        <f t="shared" si="48"/>
        <v>36000</v>
      </c>
      <c r="Z228" s="110">
        <f t="shared" si="38"/>
        <v>180000</v>
      </c>
      <c r="AA228" s="105">
        <f t="shared" si="47"/>
        <v>0.55555555555555558</v>
      </c>
      <c r="AB228" s="105">
        <f t="shared" si="44"/>
        <v>0.1111111111111111</v>
      </c>
      <c r="AC228" s="305">
        <v>1</v>
      </c>
    </row>
    <row r="229" spans="1:29" ht="82.9" customHeight="1">
      <c r="A229" s="224" t="s">
        <v>989</v>
      </c>
      <c r="B229" s="224" t="s">
        <v>165</v>
      </c>
      <c r="C229" s="225" t="s">
        <v>312</v>
      </c>
      <c r="D229" s="225" t="s">
        <v>990</v>
      </c>
      <c r="E229" s="226">
        <v>80700190507</v>
      </c>
      <c r="F229" s="201" t="s">
        <v>385</v>
      </c>
      <c r="G229" s="227" t="s">
        <v>386</v>
      </c>
      <c r="H229" s="227"/>
      <c r="I229" s="227"/>
      <c r="J229" s="225" t="s">
        <v>991</v>
      </c>
      <c r="K229" s="92"/>
      <c r="L229" s="92"/>
      <c r="M229" s="92"/>
      <c r="N229" s="92"/>
      <c r="O229" s="97" t="s">
        <v>992</v>
      </c>
      <c r="P229" s="97" t="s">
        <v>982</v>
      </c>
      <c r="Q229" s="94" t="s">
        <v>939</v>
      </c>
      <c r="R229" s="90">
        <v>1</v>
      </c>
      <c r="S229" s="90" t="str">
        <f>IFERROR(VLOOKUP(Q229,'Veicamo darbu apraksts'!$B$2:$D$39,2,FALSE),"")</f>
        <v>gab.</v>
      </c>
      <c r="T229" s="124">
        <f>IFERROR(VLOOKUP(Q229,'Veicamo darbu apraksts'!$B$2:$D$39,3,FALSE),"")</f>
        <v>13625</v>
      </c>
      <c r="U229" s="94">
        <f t="shared" si="46"/>
        <v>13625</v>
      </c>
      <c r="V229" s="117">
        <v>10</v>
      </c>
      <c r="W229" s="186">
        <v>1</v>
      </c>
      <c r="X229" s="187">
        <v>10</v>
      </c>
      <c r="Y229" s="96">
        <f t="shared" si="48"/>
        <v>1200</v>
      </c>
      <c r="Z229" s="110">
        <f t="shared" si="38"/>
        <v>1200</v>
      </c>
      <c r="AA229" s="105">
        <f t="shared" si="47"/>
        <v>11.354166666666666</v>
      </c>
      <c r="AB229" s="105">
        <f t="shared" si="44"/>
        <v>11.354166666666666</v>
      </c>
      <c r="AC229" s="305">
        <v>3</v>
      </c>
    </row>
    <row r="230" spans="1:29" ht="26.45">
      <c r="A230" s="93" t="s">
        <v>224</v>
      </c>
      <c r="B230" s="93" t="s">
        <v>224</v>
      </c>
      <c r="C230" s="97" t="s">
        <v>326</v>
      </c>
      <c r="D230" s="225" t="s">
        <v>993</v>
      </c>
      <c r="E230" s="226" t="s">
        <v>923</v>
      </c>
      <c r="F230" s="201" t="s">
        <v>385</v>
      </c>
      <c r="G230" s="227" t="s">
        <v>490</v>
      </c>
      <c r="H230" s="227"/>
      <c r="I230" s="227"/>
      <c r="J230" s="225" t="s">
        <v>849</v>
      </c>
      <c r="K230" s="92"/>
      <c r="L230" s="92"/>
      <c r="M230" s="92"/>
      <c r="N230" s="92"/>
      <c r="O230" s="97" t="s">
        <v>933</v>
      </c>
      <c r="P230" s="97" t="s">
        <v>933</v>
      </c>
      <c r="Q230" s="97" t="s">
        <v>933</v>
      </c>
      <c r="R230" s="90">
        <v>1</v>
      </c>
      <c r="S230" s="90" t="s">
        <v>493</v>
      </c>
      <c r="T230" s="124">
        <f>IFERROR(VLOOKUP(Q230,'Veicamo darbu apraksts'!$B$2:$D$43,3,FALSE),"")</f>
        <v>20000</v>
      </c>
      <c r="U230" s="94">
        <f t="shared" ref="U230" si="49">IFERROR(R230*T230,0)</f>
        <v>20000</v>
      </c>
      <c r="V230" s="117">
        <v>800</v>
      </c>
      <c r="W230" s="186">
        <v>0.2</v>
      </c>
      <c r="X230" s="187">
        <v>20</v>
      </c>
      <c r="Y230" s="96">
        <f t="shared" ref="Y230" si="50">V230*W230*X230*12</f>
        <v>38400</v>
      </c>
      <c r="Z230" s="110">
        <f t="shared" ref="Z230" si="51">V230*X230*12</f>
        <v>192000</v>
      </c>
      <c r="AA230" s="105">
        <f t="shared" ref="AA230" si="52">U230/Y230</f>
        <v>0.52083333333333337</v>
      </c>
      <c r="AB230" s="105">
        <f t="shared" ref="AB230" si="53">U230/Z230</f>
        <v>0.10416666666666667</v>
      </c>
      <c r="AC230" s="305">
        <v>3</v>
      </c>
    </row>
    <row r="231" spans="1:29" ht="26.45">
      <c r="A231" s="93" t="s">
        <v>225</v>
      </c>
      <c r="B231" s="93" t="s">
        <v>225</v>
      </c>
      <c r="C231" s="97" t="s">
        <v>994</v>
      </c>
      <c r="D231" s="225" t="s">
        <v>995</v>
      </c>
      <c r="E231" s="226" t="s">
        <v>923</v>
      </c>
      <c r="F231" s="201" t="s">
        <v>385</v>
      </c>
      <c r="G231" s="227" t="s">
        <v>490</v>
      </c>
      <c r="H231" s="227"/>
      <c r="I231" s="227"/>
      <c r="J231" s="225" t="s">
        <v>849</v>
      </c>
      <c r="K231" s="92"/>
      <c r="L231" s="92"/>
      <c r="M231" s="92"/>
      <c r="N231" s="92"/>
      <c r="O231" s="97" t="s">
        <v>933</v>
      </c>
      <c r="P231" s="97" t="s">
        <v>933</v>
      </c>
      <c r="Q231" s="97" t="s">
        <v>933</v>
      </c>
      <c r="R231" s="90">
        <v>1</v>
      </c>
      <c r="S231" s="90" t="s">
        <v>493</v>
      </c>
      <c r="T231" s="124">
        <f>IFERROR(VLOOKUP(Q231,'Veicamo darbu apraksts'!$B$2:$D$44,3,FALSE),"")</f>
        <v>20000</v>
      </c>
      <c r="U231" s="94">
        <f t="shared" ref="U231:U234" si="54">IFERROR(R231*T231,0)</f>
        <v>20000</v>
      </c>
      <c r="V231" s="117">
        <v>700</v>
      </c>
      <c r="W231" s="186">
        <v>0.2</v>
      </c>
      <c r="X231" s="187">
        <v>20</v>
      </c>
      <c r="Y231" s="96">
        <f t="shared" ref="Y231:Y232" si="55">V231*W231*X231*12</f>
        <v>33600</v>
      </c>
      <c r="Z231" s="110">
        <f t="shared" ref="Z231:Z232" si="56">V231*X231*12</f>
        <v>168000</v>
      </c>
      <c r="AA231" s="105">
        <f t="shared" ref="AA231:AA232" si="57">U231/Y231</f>
        <v>0.59523809523809523</v>
      </c>
      <c r="AB231" s="105">
        <f t="shared" ref="AB231:AB232" si="58">U231/Z231</f>
        <v>0.11904761904761904</v>
      </c>
      <c r="AC231" s="305">
        <v>3</v>
      </c>
    </row>
    <row r="232" spans="1:29" ht="106.15" customHeight="1">
      <c r="A232" s="93" t="s">
        <v>226</v>
      </c>
      <c r="B232" s="93" t="s">
        <v>226</v>
      </c>
      <c r="C232" s="97" t="s">
        <v>348</v>
      </c>
      <c r="D232" s="119" t="s">
        <v>996</v>
      </c>
      <c r="E232" s="155" t="s">
        <v>997</v>
      </c>
      <c r="F232" s="208" t="s">
        <v>385</v>
      </c>
      <c r="G232" s="94" t="s">
        <v>490</v>
      </c>
      <c r="H232" s="98"/>
      <c r="I232" s="98"/>
      <c r="J232" s="118" t="s">
        <v>849</v>
      </c>
      <c r="K232" s="114"/>
      <c r="L232" s="114"/>
      <c r="M232" s="114"/>
      <c r="N232" s="114"/>
      <c r="O232" s="118" t="s">
        <v>851</v>
      </c>
      <c r="P232" s="118" t="s">
        <v>850</v>
      </c>
      <c r="Q232" s="118" t="s">
        <v>850</v>
      </c>
      <c r="R232" s="90">
        <v>1</v>
      </c>
      <c r="S232" s="124" t="s">
        <v>493</v>
      </c>
      <c r="T232" s="124" t="str">
        <f>IFERROR(VLOOKUP(Q232,'Veicamo darbu apraksts'!$B$2:$D$39,3,FALSE),"")</f>
        <v/>
      </c>
      <c r="U232" s="94">
        <f t="shared" si="54"/>
        <v>0</v>
      </c>
      <c r="V232" s="117">
        <v>8000</v>
      </c>
      <c r="W232" s="67">
        <v>0.2</v>
      </c>
      <c r="X232" s="68">
        <v>20</v>
      </c>
      <c r="Y232" s="96">
        <f t="shared" si="55"/>
        <v>384000</v>
      </c>
      <c r="Z232" s="110">
        <f t="shared" si="56"/>
        <v>1920000</v>
      </c>
      <c r="AA232" s="105">
        <f t="shared" si="57"/>
        <v>0</v>
      </c>
      <c r="AB232" s="105">
        <f t="shared" si="58"/>
        <v>0</v>
      </c>
      <c r="AC232" s="305">
        <v>2</v>
      </c>
    </row>
    <row r="233" spans="1:29" ht="93.6" customHeight="1">
      <c r="A233" s="311" t="s">
        <v>228</v>
      </c>
      <c r="B233" s="311" t="s">
        <v>228</v>
      </c>
      <c r="C233" s="112" t="s">
        <v>348</v>
      </c>
      <c r="D233" s="119" t="s">
        <v>998</v>
      </c>
      <c r="E233" s="113" t="s">
        <v>999</v>
      </c>
      <c r="F233" s="208" t="s">
        <v>385</v>
      </c>
      <c r="G233" s="125" t="s">
        <v>490</v>
      </c>
      <c r="H233" s="316"/>
      <c r="I233" s="316"/>
      <c r="J233" s="119" t="s">
        <v>880</v>
      </c>
      <c r="K233" s="114"/>
      <c r="L233" s="114"/>
      <c r="M233" s="114"/>
      <c r="N233" s="114"/>
      <c r="O233" s="119" t="s">
        <v>1000</v>
      </c>
      <c r="P233" s="119" t="s">
        <v>1001</v>
      </c>
      <c r="Q233" s="94" t="s">
        <v>439</v>
      </c>
      <c r="R233" s="312">
        <v>600</v>
      </c>
      <c r="S233" s="124" t="s">
        <v>475</v>
      </c>
      <c r="T233" s="124">
        <f>IFERROR(VLOOKUP(Q233,'Veicamo darbu apraksts'!$B$2:$D$39,3,FALSE),"")</f>
        <v>75</v>
      </c>
      <c r="U233" s="94">
        <f t="shared" si="54"/>
        <v>45000</v>
      </c>
      <c r="V233" s="178">
        <v>70</v>
      </c>
      <c r="W233" s="193">
        <v>0.5</v>
      </c>
      <c r="X233" s="193">
        <v>10</v>
      </c>
      <c r="Y233" s="96">
        <f t="shared" ref="Y233:Y234" si="59">V233*W233*X233*12</f>
        <v>4200</v>
      </c>
      <c r="Z233" s="110">
        <f t="shared" ref="Z233:Z234" si="60">V233*X233*12</f>
        <v>8400</v>
      </c>
      <c r="AA233" s="105">
        <f t="shared" ref="AA233:AA234" si="61">U233/Y233</f>
        <v>10.714285714285714</v>
      </c>
      <c r="AB233" s="105">
        <f t="shared" ref="AB233:AB234" si="62">U233/Z233</f>
        <v>5.3571428571428568</v>
      </c>
      <c r="AC233" s="307">
        <v>2</v>
      </c>
    </row>
    <row r="234" spans="1:29" ht="105" customHeight="1">
      <c r="A234" s="311" t="s">
        <v>229</v>
      </c>
      <c r="B234" s="311" t="s">
        <v>229</v>
      </c>
      <c r="C234" s="112" t="s">
        <v>348</v>
      </c>
      <c r="D234" s="112" t="s">
        <v>1002</v>
      </c>
      <c r="E234" s="113" t="s">
        <v>999</v>
      </c>
      <c r="F234" s="208" t="s">
        <v>385</v>
      </c>
      <c r="G234" s="125" t="s">
        <v>386</v>
      </c>
      <c r="H234" s="125"/>
      <c r="I234" s="125"/>
      <c r="J234" s="112" t="s">
        <v>880</v>
      </c>
      <c r="K234" s="114"/>
      <c r="L234" s="114"/>
      <c r="M234" s="114"/>
      <c r="N234" s="114"/>
      <c r="O234" s="112" t="s">
        <v>1003</v>
      </c>
      <c r="P234" s="112" t="s">
        <v>1004</v>
      </c>
      <c r="Q234" s="112" t="s">
        <v>1005</v>
      </c>
      <c r="R234" s="312">
        <v>3</v>
      </c>
      <c r="S234" s="124" t="s">
        <v>493</v>
      </c>
      <c r="T234" s="124">
        <f>IFERROR(VLOOKUP(Q234,'Veicamo darbu apraksts'!$B$2:$D$39,3,FALSE),"")</f>
        <v>2175</v>
      </c>
      <c r="U234" s="94">
        <f t="shared" si="54"/>
        <v>6525</v>
      </c>
      <c r="V234" s="178">
        <v>1500</v>
      </c>
      <c r="W234" s="188">
        <v>0.5</v>
      </c>
      <c r="X234" s="189">
        <v>5</v>
      </c>
      <c r="Y234" s="313">
        <f t="shared" si="59"/>
        <v>45000</v>
      </c>
      <c r="Z234" s="314">
        <f t="shared" si="60"/>
        <v>90000</v>
      </c>
      <c r="AA234" s="315">
        <f t="shared" si="61"/>
        <v>0.14499999999999999</v>
      </c>
      <c r="AB234" s="315">
        <f t="shared" si="62"/>
        <v>7.2499999999999995E-2</v>
      </c>
      <c r="AC234" s="307">
        <v>2</v>
      </c>
    </row>
  </sheetData>
  <autoFilter ref="A3:AC234" xr:uid="{00000000-0009-0000-0000-000001000000}"/>
  <phoneticPr fontId="13" type="noConversion"/>
  <pageMargins left="0.70866141732283472" right="0.70866141732283472" top="0.74803149606299213" bottom="0.74803149606299213" header="0.31496062992125984" footer="0.31496062992125984"/>
  <pageSetup paperSize="8" scale="3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'Veicamo darbu apraksts'!$B$2:$B$37</xm:f>
          </x14:formula1>
          <xm:sqref>O19 P150:Q150 P136:Q137 Q151:Q153 Q233 P154:Q156 Q141:Q149 Q61:Q135 Q229 Q223 Q181 Q183:Q184 Q138:Q139 Q157:Q160 Q162:Q164 Q201 Q166:Q169 Q171:Q176 Q178 P167:P169 P171 Q5:Q36 Q203 Q186:Q189 Q39:Q59 Q206:Q221 Q225:Q226 Q192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9"/>
  <sheetViews>
    <sheetView topLeftCell="A30" workbookViewId="0">
      <selection activeCell="B44" sqref="B44"/>
    </sheetView>
  </sheetViews>
  <sheetFormatPr defaultColWidth="8.7109375" defaultRowHeight="14.45"/>
  <cols>
    <col min="2" max="2" width="89.7109375" customWidth="1"/>
    <col min="3" max="3" width="13.42578125" customWidth="1"/>
    <col min="4" max="4" width="26.140625" customWidth="1"/>
  </cols>
  <sheetData>
    <row r="1" spans="1:4" ht="15.6">
      <c r="B1" s="3"/>
      <c r="C1" s="2" t="s">
        <v>1006</v>
      </c>
      <c r="D1" s="2" t="s">
        <v>1007</v>
      </c>
    </row>
    <row r="2" spans="1:4" ht="18" customHeight="1">
      <c r="A2">
        <v>1</v>
      </c>
      <c r="B2" s="6" t="s">
        <v>423</v>
      </c>
      <c r="C2" s="7" t="s">
        <v>493</v>
      </c>
      <c r="D2" s="7">
        <f>'Vienību izmaksu aprēķins'!F2</f>
        <v>2765</v>
      </c>
    </row>
    <row r="3" spans="1:4" ht="15">
      <c r="A3">
        <v>2</v>
      </c>
      <c r="B3" s="6" t="s">
        <v>467</v>
      </c>
      <c r="C3" s="7" t="s">
        <v>493</v>
      </c>
      <c r="D3" s="7">
        <f>'Vienību izmaksu aprēķins'!F7</f>
        <v>3150</v>
      </c>
    </row>
    <row r="4" spans="1:4" ht="15">
      <c r="A4">
        <v>3</v>
      </c>
      <c r="B4" s="6" t="s">
        <v>401</v>
      </c>
      <c r="C4" s="7" t="s">
        <v>493</v>
      </c>
      <c r="D4" s="7">
        <f>'Vienību izmaksu aprēķins'!F13</f>
        <v>7160</v>
      </c>
    </row>
    <row r="5" spans="1:4" ht="15.6">
      <c r="A5">
        <v>4</v>
      </c>
      <c r="B5" s="5" t="s">
        <v>391</v>
      </c>
      <c r="C5" s="4" t="s">
        <v>475</v>
      </c>
      <c r="D5" s="12">
        <v>50</v>
      </c>
    </row>
    <row r="6" spans="1:4" ht="15">
      <c r="A6">
        <v>5</v>
      </c>
      <c r="B6" s="6" t="s">
        <v>414</v>
      </c>
      <c r="C6" s="7" t="s">
        <v>493</v>
      </c>
      <c r="D6" s="7">
        <f>'Vienību izmaksu aprēķins'!F23</f>
        <v>450</v>
      </c>
    </row>
    <row r="7" spans="1:4" ht="15">
      <c r="A7">
        <v>6</v>
      </c>
      <c r="B7" s="52" t="s">
        <v>648</v>
      </c>
      <c r="C7" s="53" t="s">
        <v>493</v>
      </c>
      <c r="D7" s="53">
        <v>150</v>
      </c>
    </row>
    <row r="8" spans="1:4" ht="15.6">
      <c r="A8">
        <v>7</v>
      </c>
      <c r="B8" s="5" t="s">
        <v>1008</v>
      </c>
      <c r="C8" s="4" t="s">
        <v>475</v>
      </c>
      <c r="D8" s="12">
        <f>'Vienību izmaksu aprēķins'!F24</f>
        <v>70</v>
      </c>
    </row>
    <row r="9" spans="1:4" ht="15">
      <c r="A9">
        <v>8</v>
      </c>
      <c r="B9" s="54" t="s">
        <v>448</v>
      </c>
      <c r="C9" s="55"/>
      <c r="D9" s="55"/>
    </row>
    <row r="10" spans="1:4" ht="15.6">
      <c r="A10">
        <v>9</v>
      </c>
      <c r="B10" s="5" t="s">
        <v>398</v>
      </c>
      <c r="C10" s="4" t="s">
        <v>475</v>
      </c>
      <c r="D10" s="12">
        <f>'Vienību izmaksu aprēķins'!F25</f>
        <v>55</v>
      </c>
    </row>
    <row r="11" spans="1:4" ht="15.6">
      <c r="A11">
        <v>10</v>
      </c>
      <c r="B11" s="5" t="s">
        <v>675</v>
      </c>
      <c r="C11" s="4" t="s">
        <v>475</v>
      </c>
      <c r="D11" s="12">
        <f>'Vienību izmaksu aprēķins'!F26</f>
        <v>55</v>
      </c>
    </row>
    <row r="12" spans="1:4" ht="15.6">
      <c r="A12">
        <v>11</v>
      </c>
      <c r="B12" s="6" t="s">
        <v>450</v>
      </c>
      <c r="C12" s="7" t="s">
        <v>493</v>
      </c>
      <c r="D12" s="10">
        <f>'Vienību izmaksu aprēķins'!F28</f>
        <v>90</v>
      </c>
    </row>
    <row r="13" spans="1:4" ht="15.6">
      <c r="A13">
        <v>12</v>
      </c>
      <c r="B13" s="5" t="s">
        <v>474</v>
      </c>
      <c r="C13" s="4" t="s">
        <v>1009</v>
      </c>
      <c r="D13" s="359"/>
    </row>
    <row r="14" spans="1:4" ht="15.6">
      <c r="A14">
        <v>13</v>
      </c>
      <c r="B14" s="5" t="s">
        <v>574</v>
      </c>
      <c r="C14" s="4" t="s">
        <v>475</v>
      </c>
      <c r="D14" s="12"/>
    </row>
    <row r="15" spans="1:4" ht="15.6">
      <c r="A15">
        <v>14</v>
      </c>
      <c r="B15" s="5" t="s">
        <v>463</v>
      </c>
      <c r="C15" s="4" t="s">
        <v>475</v>
      </c>
      <c r="D15" s="12">
        <v>50</v>
      </c>
    </row>
    <row r="16" spans="1:4" ht="15.6">
      <c r="A16">
        <v>15</v>
      </c>
      <c r="B16" s="5" t="s">
        <v>495</v>
      </c>
      <c r="C16" s="4" t="s">
        <v>493</v>
      </c>
      <c r="D16" s="12"/>
    </row>
    <row r="17" spans="1:4" ht="15.6">
      <c r="A17">
        <v>16</v>
      </c>
      <c r="B17" s="5" t="s">
        <v>503</v>
      </c>
      <c r="C17" s="4" t="s">
        <v>475</v>
      </c>
      <c r="D17" s="12">
        <v>42</v>
      </c>
    </row>
    <row r="18" spans="1:4" ht="15.6">
      <c r="A18">
        <v>17</v>
      </c>
      <c r="B18" s="6" t="s">
        <v>578</v>
      </c>
      <c r="C18" s="7" t="s">
        <v>493</v>
      </c>
      <c r="D18" s="10">
        <f>D4</f>
        <v>7160</v>
      </c>
    </row>
    <row r="19" spans="1:4" ht="15.6">
      <c r="A19">
        <v>18</v>
      </c>
      <c r="B19" s="5" t="s">
        <v>1010</v>
      </c>
      <c r="C19" s="295" t="s">
        <v>493</v>
      </c>
      <c r="D19" s="12">
        <f>'Vienību izmaksu aprēķins'!F35</f>
        <v>1400</v>
      </c>
    </row>
    <row r="20" spans="1:4" ht="15.6">
      <c r="A20">
        <v>19</v>
      </c>
      <c r="B20" s="1" t="s">
        <v>599</v>
      </c>
      <c r="C20" s="4" t="s">
        <v>475</v>
      </c>
      <c r="D20" s="12">
        <v>25</v>
      </c>
    </row>
    <row r="21" spans="1:4" ht="15.6">
      <c r="A21">
        <v>20</v>
      </c>
      <c r="B21" s="1" t="s">
        <v>568</v>
      </c>
      <c r="C21" s="4" t="s">
        <v>475</v>
      </c>
      <c r="D21" s="12">
        <v>50</v>
      </c>
    </row>
    <row r="22" spans="1:4" ht="15.6">
      <c r="A22">
        <v>21</v>
      </c>
      <c r="B22" s="5" t="s">
        <v>595</v>
      </c>
      <c r="C22" s="4" t="s">
        <v>475</v>
      </c>
      <c r="D22" s="12">
        <v>75</v>
      </c>
    </row>
    <row r="23" spans="1:4" ht="15.6">
      <c r="A23">
        <v>22</v>
      </c>
      <c r="B23" s="1" t="s">
        <v>603</v>
      </c>
      <c r="C23" s="4" t="s">
        <v>475</v>
      </c>
      <c r="D23" s="12">
        <v>40</v>
      </c>
    </row>
    <row r="24" spans="1:4" ht="15.6">
      <c r="A24">
        <v>23</v>
      </c>
      <c r="B24" s="1" t="s">
        <v>608</v>
      </c>
      <c r="C24" s="4" t="s">
        <v>475</v>
      </c>
      <c r="D24" s="12">
        <v>50</v>
      </c>
    </row>
    <row r="25" spans="1:4" ht="15.6">
      <c r="A25">
        <v>24</v>
      </c>
      <c r="B25" s="6" t="s">
        <v>1011</v>
      </c>
      <c r="C25" s="7" t="s">
        <v>493</v>
      </c>
      <c r="D25" s="10"/>
    </row>
    <row r="26" spans="1:4" ht="15.6">
      <c r="A26">
        <v>25</v>
      </c>
      <c r="B26" s="6" t="s">
        <v>971</v>
      </c>
      <c r="C26" s="7" t="s">
        <v>493</v>
      </c>
      <c r="D26" s="10">
        <f>'Vienību izmaksu aprēķins'!F41</f>
        <v>4295</v>
      </c>
    </row>
    <row r="27" spans="1:4" ht="15.6">
      <c r="A27">
        <v>26</v>
      </c>
      <c r="B27" s="6" t="s">
        <v>764</v>
      </c>
      <c r="C27" s="7" t="s">
        <v>493</v>
      </c>
      <c r="D27" s="10">
        <f>'Vienību izmaksu aprēķins'!F47</f>
        <v>6890</v>
      </c>
    </row>
    <row r="28" spans="1:4" ht="15.6">
      <c r="A28">
        <v>27</v>
      </c>
      <c r="B28" s="6" t="s">
        <v>483</v>
      </c>
      <c r="C28" s="7" t="s">
        <v>493</v>
      </c>
      <c r="D28" s="10">
        <f>'Vienību izmaksu aprēķins'!F55</f>
        <v>13080</v>
      </c>
    </row>
    <row r="29" spans="1:4" ht="15.6">
      <c r="A29">
        <v>28</v>
      </c>
      <c r="B29" s="11" t="s">
        <v>753</v>
      </c>
      <c r="C29" s="7" t="s">
        <v>493</v>
      </c>
      <c r="D29" s="56">
        <f>AVERAGE(D35:D36)</f>
        <v>45100</v>
      </c>
    </row>
    <row r="30" spans="1:4" ht="15.6">
      <c r="A30">
        <v>29</v>
      </c>
      <c r="B30" s="5" t="s">
        <v>439</v>
      </c>
      <c r="C30" s="4" t="s">
        <v>475</v>
      </c>
      <c r="D30" s="12">
        <f>'Vienību izmaksu aprēķins'!F88</f>
        <v>75</v>
      </c>
    </row>
    <row r="31" spans="1:4" ht="15.6">
      <c r="A31">
        <v>30</v>
      </c>
      <c r="B31" s="1" t="s">
        <v>656</v>
      </c>
      <c r="C31" s="4" t="s">
        <v>475</v>
      </c>
      <c r="D31" s="12">
        <v>75</v>
      </c>
    </row>
    <row r="32" spans="1:4" ht="16.149999999999999" thickBot="1">
      <c r="A32">
        <v>31</v>
      </c>
      <c r="B32" s="5" t="s">
        <v>669</v>
      </c>
      <c r="C32" s="9" t="s">
        <v>475</v>
      </c>
      <c r="D32" s="12">
        <v>7</v>
      </c>
    </row>
    <row r="33" spans="1:4" ht="15.6">
      <c r="A33">
        <v>32</v>
      </c>
      <c r="B33" s="358" t="s">
        <v>1012</v>
      </c>
      <c r="C33" s="7" t="s">
        <v>493</v>
      </c>
      <c r="D33" s="12">
        <f>'Vienību izmaksu aprēķins'!F64</f>
        <v>2175</v>
      </c>
    </row>
    <row r="34" spans="1:4" ht="16.149999999999999" thickBot="1">
      <c r="A34">
        <v>33</v>
      </c>
      <c r="B34" s="16" t="s">
        <v>1013</v>
      </c>
      <c r="C34" s="7" t="s">
        <v>493</v>
      </c>
      <c r="D34" s="12">
        <f>'Vienību izmaksu aprēķins'!F69</f>
        <v>13625</v>
      </c>
    </row>
    <row r="35" spans="1:4" ht="16.149999999999999" thickBot="1">
      <c r="A35">
        <v>34</v>
      </c>
      <c r="B35" s="16" t="s">
        <v>1014</v>
      </c>
      <c r="C35" s="7" t="s">
        <v>493</v>
      </c>
      <c r="D35" s="12">
        <f>'Vienību izmaksu aprēķins'!F77</f>
        <v>30325</v>
      </c>
    </row>
    <row r="36" spans="1:4" ht="15.6">
      <c r="A36">
        <v>35</v>
      </c>
      <c r="B36" s="16" t="s">
        <v>1015</v>
      </c>
      <c r="C36" s="7" t="s">
        <v>493</v>
      </c>
      <c r="D36" s="12">
        <f>'Vienību izmaksu aprēķins'!F86</f>
        <v>59875</v>
      </c>
    </row>
    <row r="37" spans="1:4" ht="15.6">
      <c r="A37">
        <v>36</v>
      </c>
      <c r="B37" s="16" t="s">
        <v>1016</v>
      </c>
      <c r="C37" s="7" t="s">
        <v>493</v>
      </c>
      <c r="D37" s="159">
        <f>'Vienību izmaksu aprēķins'!D87+'Vienību izmaksu aprēķins'!E87</f>
        <v>2750</v>
      </c>
    </row>
    <row r="38" spans="1:4" ht="15.6">
      <c r="A38">
        <v>37</v>
      </c>
      <c r="B38" s="20" t="s">
        <v>506</v>
      </c>
      <c r="C38" s="158" t="s">
        <v>493</v>
      </c>
      <c r="D38" s="161">
        <f>'Vienību izmaksu aprēķins'!F91</f>
        <v>15000</v>
      </c>
    </row>
    <row r="39" spans="1:4" ht="15.6">
      <c r="A39">
        <v>38</v>
      </c>
      <c r="B39" s="20" t="s">
        <v>1017</v>
      </c>
      <c r="C39" s="158" t="s">
        <v>838</v>
      </c>
      <c r="D39" s="161">
        <f>'Vienību izmaksu aprēķins'!F92</f>
        <v>5000</v>
      </c>
    </row>
    <row r="40" spans="1:4" ht="15.6">
      <c r="A40">
        <v>39</v>
      </c>
      <c r="B40" s="20" t="s">
        <v>1018</v>
      </c>
      <c r="C40" s="158" t="s">
        <v>493</v>
      </c>
      <c r="D40" s="161">
        <f>'Vienību izmaksu aprēķins'!F93</f>
        <v>15000</v>
      </c>
    </row>
    <row r="41" spans="1:4" ht="15.6">
      <c r="A41">
        <v>40</v>
      </c>
      <c r="B41" s="20" t="s">
        <v>878</v>
      </c>
      <c r="C41" s="158" t="s">
        <v>493</v>
      </c>
      <c r="D41" s="161">
        <v>650</v>
      </c>
    </row>
    <row r="42" spans="1:4" ht="15.6">
      <c r="A42">
        <v>41</v>
      </c>
      <c r="B42" s="20" t="s">
        <v>941</v>
      </c>
      <c r="C42" s="158" t="s">
        <v>493</v>
      </c>
      <c r="D42" s="161">
        <f>'Vienību izmaksu aprēķins'!F94</f>
        <v>10000</v>
      </c>
    </row>
    <row r="43" spans="1:4" ht="15.6">
      <c r="A43">
        <v>42</v>
      </c>
      <c r="B43" s="16" t="s">
        <v>933</v>
      </c>
      <c r="C43" s="158" t="s">
        <v>493</v>
      </c>
      <c r="D43" s="161">
        <v>20000</v>
      </c>
    </row>
    <row r="44" spans="1:4" ht="15.6">
      <c r="A44">
        <v>43</v>
      </c>
      <c r="B44" s="16" t="s">
        <v>1019</v>
      </c>
      <c r="C44" s="158" t="s">
        <v>493</v>
      </c>
      <c r="D44" s="161">
        <v>100000</v>
      </c>
    </row>
    <row r="45" spans="1:4" ht="15.6">
      <c r="A45">
        <v>44</v>
      </c>
      <c r="B45" s="16" t="s">
        <v>1020</v>
      </c>
      <c r="C45" s="158" t="s">
        <v>493</v>
      </c>
      <c r="D45" s="161">
        <v>60000</v>
      </c>
    </row>
    <row r="46" spans="1:4" ht="15.6">
      <c r="A46">
        <v>45</v>
      </c>
      <c r="B46" s="16" t="s">
        <v>1021</v>
      </c>
      <c r="C46" s="158" t="s">
        <v>872</v>
      </c>
      <c r="D46" s="161">
        <f>'Vienību izmaksu aprēķins'!F95</f>
        <v>2000</v>
      </c>
    </row>
    <row r="47" spans="1:4" ht="15">
      <c r="A47">
        <v>46</v>
      </c>
      <c r="B47" s="44" t="s">
        <v>1022</v>
      </c>
      <c r="C47" s="45" t="s">
        <v>1023</v>
      </c>
      <c r="D47" s="45">
        <v>250</v>
      </c>
    </row>
    <row r="48" spans="1:4" ht="15.6">
      <c r="A48">
        <v>47</v>
      </c>
      <c r="B48" s="29" t="s">
        <v>1024</v>
      </c>
      <c r="C48" s="7" t="s">
        <v>475</v>
      </c>
      <c r="D48" s="323">
        <v>60</v>
      </c>
    </row>
    <row r="49" spans="1:4" ht="30">
      <c r="A49">
        <v>48</v>
      </c>
      <c r="B49" s="29" t="s">
        <v>1025</v>
      </c>
      <c r="C49" s="7" t="s">
        <v>475</v>
      </c>
      <c r="D49" s="323">
        <v>25</v>
      </c>
    </row>
  </sheetData>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95"/>
  <sheetViews>
    <sheetView workbookViewId="0">
      <pane xSplit="1" ySplit="1" topLeftCell="F75" activePane="bottomRight" state="frozen"/>
      <selection pane="bottomRight" activeCell="A82" sqref="A82"/>
      <selection pane="bottomLeft" activeCell="A2" sqref="A2"/>
      <selection pane="topRight" activeCell="B1" sqref="B1"/>
    </sheetView>
  </sheetViews>
  <sheetFormatPr defaultColWidth="8.7109375" defaultRowHeight="14.45"/>
  <cols>
    <col min="1" max="1" width="83.7109375" customWidth="1"/>
    <col min="2" max="5" width="11.42578125" customWidth="1"/>
    <col min="6" max="6" width="34.42578125" bestFit="1" customWidth="1"/>
  </cols>
  <sheetData>
    <row r="1" spans="1:6" ht="16.149999999999999" thickBot="1">
      <c r="A1" s="13"/>
      <c r="B1" s="14" t="s">
        <v>1006</v>
      </c>
      <c r="C1" s="14" t="s">
        <v>1026</v>
      </c>
      <c r="D1" s="14" t="s">
        <v>1027</v>
      </c>
      <c r="E1" s="14" t="s">
        <v>1028</v>
      </c>
      <c r="F1" s="15" t="s">
        <v>1029</v>
      </c>
    </row>
    <row r="2" spans="1:6" ht="30.6">
      <c r="A2" s="16" t="s">
        <v>1030</v>
      </c>
      <c r="B2" s="17" t="s">
        <v>493</v>
      </c>
      <c r="C2" s="17"/>
      <c r="D2" s="18">
        <f t="shared" ref="D2:E2" si="0">D3+D4+D5+D6</f>
        <v>2235</v>
      </c>
      <c r="E2" s="18">
        <f t="shared" si="0"/>
        <v>310</v>
      </c>
      <c r="F2" s="19">
        <f>F3+F4+F5+F6</f>
        <v>2765</v>
      </c>
    </row>
    <row r="3" spans="1:6" ht="15">
      <c r="A3" s="20" t="s">
        <v>1031</v>
      </c>
      <c r="B3" s="7" t="s">
        <v>1032</v>
      </c>
      <c r="C3" s="7">
        <v>5</v>
      </c>
      <c r="D3" s="7">
        <v>35</v>
      </c>
      <c r="E3" s="7">
        <v>20</v>
      </c>
      <c r="F3" s="21">
        <f>C3*(D3+E3)</f>
        <v>275</v>
      </c>
    </row>
    <row r="4" spans="1:6" ht="15">
      <c r="A4" s="20" t="s">
        <v>1033</v>
      </c>
      <c r="B4" s="7" t="s">
        <v>493</v>
      </c>
      <c r="C4" s="7">
        <v>1</v>
      </c>
      <c r="D4" s="7">
        <v>700</v>
      </c>
      <c r="E4" s="7">
        <v>50</v>
      </c>
      <c r="F4" s="21">
        <f t="shared" ref="F4:F6" si="1">C4*(D4+E4)</f>
        <v>750</v>
      </c>
    </row>
    <row r="5" spans="1:6" ht="15">
      <c r="A5" s="20" t="s">
        <v>1034</v>
      </c>
      <c r="B5" s="7" t="s">
        <v>493</v>
      </c>
      <c r="C5" s="7">
        <v>1</v>
      </c>
      <c r="D5" s="7">
        <v>300</v>
      </c>
      <c r="E5" s="7">
        <v>40</v>
      </c>
      <c r="F5" s="21">
        <f t="shared" si="1"/>
        <v>340</v>
      </c>
    </row>
    <row r="6" spans="1:6" ht="15.6" thickBot="1">
      <c r="A6" s="22" t="s">
        <v>1035</v>
      </c>
      <c r="B6" s="23" t="s">
        <v>493</v>
      </c>
      <c r="C6" s="23">
        <v>1</v>
      </c>
      <c r="D6" s="23">
        <v>1200</v>
      </c>
      <c r="E6" s="23">
        <v>200</v>
      </c>
      <c r="F6" s="24">
        <f t="shared" si="1"/>
        <v>1400</v>
      </c>
    </row>
    <row r="7" spans="1:6" ht="30.6">
      <c r="A7" s="16" t="s">
        <v>1036</v>
      </c>
      <c r="B7" s="17" t="s">
        <v>493</v>
      </c>
      <c r="C7" s="17"/>
      <c r="D7" s="18">
        <f t="shared" ref="D7:E7" si="2">D8+D9+D10+D11</f>
        <v>2235</v>
      </c>
      <c r="E7" s="18">
        <f t="shared" si="2"/>
        <v>310</v>
      </c>
      <c r="F7" s="19">
        <f>F8+F9+F10+F11</f>
        <v>3150</v>
      </c>
    </row>
    <row r="8" spans="1:6" ht="15">
      <c r="A8" s="20" t="s">
        <v>1037</v>
      </c>
      <c r="B8" s="7" t="s">
        <v>1032</v>
      </c>
      <c r="C8" s="7">
        <v>12</v>
      </c>
      <c r="D8" s="7">
        <v>35</v>
      </c>
      <c r="E8" s="7">
        <v>20</v>
      </c>
      <c r="F8" s="21">
        <f>C8*(D8+E8)</f>
        <v>660</v>
      </c>
    </row>
    <row r="9" spans="1:6" ht="15">
      <c r="A9" s="20" t="s">
        <v>1033</v>
      </c>
      <c r="B9" s="7" t="s">
        <v>493</v>
      </c>
      <c r="C9" s="7">
        <v>1</v>
      </c>
      <c r="D9" s="7">
        <v>700</v>
      </c>
      <c r="E9" s="7">
        <v>50</v>
      </c>
      <c r="F9" s="21">
        <f t="shared" ref="F9:F12" si="3">C9*(D9+E9)</f>
        <v>750</v>
      </c>
    </row>
    <row r="10" spans="1:6" ht="15">
      <c r="A10" s="20" t="s">
        <v>1034</v>
      </c>
      <c r="B10" s="7" t="s">
        <v>493</v>
      </c>
      <c r="C10" s="7">
        <v>1</v>
      </c>
      <c r="D10" s="7">
        <v>300</v>
      </c>
      <c r="E10" s="7">
        <v>40</v>
      </c>
      <c r="F10" s="21">
        <f t="shared" si="3"/>
        <v>340</v>
      </c>
    </row>
    <row r="11" spans="1:6" ht="15">
      <c r="A11" s="20" t="s">
        <v>1035</v>
      </c>
      <c r="B11" s="7" t="s">
        <v>493</v>
      </c>
      <c r="C11" s="7">
        <v>1</v>
      </c>
      <c r="D11" s="7">
        <v>1200</v>
      </c>
      <c r="E11" s="7">
        <v>200</v>
      </c>
      <c r="F11" s="21">
        <f t="shared" si="3"/>
        <v>1400</v>
      </c>
    </row>
    <row r="12" spans="1:6" ht="15.6" thickBot="1">
      <c r="A12" s="22" t="s">
        <v>1038</v>
      </c>
      <c r="B12" s="23" t="s">
        <v>1032</v>
      </c>
      <c r="C12" s="23">
        <v>3</v>
      </c>
      <c r="D12" s="7">
        <v>50</v>
      </c>
      <c r="E12" s="7">
        <v>20</v>
      </c>
      <c r="F12" s="21">
        <f t="shared" si="3"/>
        <v>210</v>
      </c>
    </row>
    <row r="13" spans="1:6" ht="45.6">
      <c r="A13" s="16" t="s">
        <v>1039</v>
      </c>
      <c r="B13" s="17" t="s">
        <v>493</v>
      </c>
      <c r="C13" s="17"/>
      <c r="D13" s="18">
        <f t="shared" ref="D13:E13" si="4">D14+D15+D16+D17+D18+D20+D21</f>
        <v>3485</v>
      </c>
      <c r="E13" s="18">
        <f t="shared" si="4"/>
        <v>570</v>
      </c>
      <c r="F13" s="19">
        <f>F14+F15+F16+F17+F18+F20+F21</f>
        <v>7160</v>
      </c>
    </row>
    <row r="14" spans="1:6" ht="15">
      <c r="A14" s="20" t="s">
        <v>1037</v>
      </c>
      <c r="B14" s="7" t="s">
        <v>1032</v>
      </c>
      <c r="C14" s="7">
        <v>30</v>
      </c>
      <c r="D14" s="7">
        <v>35</v>
      </c>
      <c r="E14" s="7">
        <v>20</v>
      </c>
      <c r="F14" s="21">
        <f>C14*(D14+E14)</f>
        <v>1650</v>
      </c>
    </row>
    <row r="15" spans="1:6" ht="15">
      <c r="A15" s="20" t="s">
        <v>1033</v>
      </c>
      <c r="B15" s="7" t="s">
        <v>493</v>
      </c>
      <c r="C15" s="7">
        <v>2</v>
      </c>
      <c r="D15" s="7">
        <v>700</v>
      </c>
      <c r="E15" s="7">
        <v>50</v>
      </c>
      <c r="F15" s="21">
        <f t="shared" ref="F15:F21" si="5">C15*(D15+E15)</f>
        <v>1500</v>
      </c>
    </row>
    <row r="16" spans="1:6" ht="15">
      <c r="A16" s="20" t="s">
        <v>1034</v>
      </c>
      <c r="B16" s="7" t="s">
        <v>493</v>
      </c>
      <c r="C16" s="7">
        <v>1</v>
      </c>
      <c r="D16" s="7">
        <v>300</v>
      </c>
      <c r="E16" s="7">
        <v>40</v>
      </c>
      <c r="F16" s="21">
        <f t="shared" si="5"/>
        <v>340</v>
      </c>
    </row>
    <row r="17" spans="1:6" ht="15">
      <c r="A17" s="20" t="s">
        <v>1035</v>
      </c>
      <c r="B17" s="7" t="s">
        <v>493</v>
      </c>
      <c r="C17" s="7">
        <v>1</v>
      </c>
      <c r="D17" s="7">
        <v>1200</v>
      </c>
      <c r="E17" s="7">
        <v>200</v>
      </c>
      <c r="F17" s="21">
        <f t="shared" si="5"/>
        <v>1400</v>
      </c>
    </row>
    <row r="18" spans="1:6" ht="15">
      <c r="A18" s="20" t="s">
        <v>1040</v>
      </c>
      <c r="B18" s="7" t="s">
        <v>1032</v>
      </c>
      <c r="C18" s="7">
        <v>5</v>
      </c>
      <c r="D18" s="7">
        <v>50</v>
      </c>
      <c r="E18" s="7">
        <v>20</v>
      </c>
      <c r="F18" s="21">
        <f t="shared" si="5"/>
        <v>350</v>
      </c>
    </row>
    <row r="19" spans="1:6" ht="15">
      <c r="A19" s="20" t="s">
        <v>1041</v>
      </c>
      <c r="B19" s="7" t="s">
        <v>493</v>
      </c>
      <c r="C19" s="7">
        <v>1</v>
      </c>
      <c r="D19" s="7">
        <v>250</v>
      </c>
      <c r="E19" s="7">
        <v>200</v>
      </c>
      <c r="F19" s="21">
        <f t="shared" si="5"/>
        <v>450</v>
      </c>
    </row>
    <row r="20" spans="1:6" ht="15">
      <c r="A20" s="20" t="s">
        <v>1042</v>
      </c>
      <c r="B20" s="7" t="s">
        <v>493</v>
      </c>
      <c r="C20" s="7">
        <v>3</v>
      </c>
      <c r="D20" s="7">
        <v>200</v>
      </c>
      <c r="E20" s="7">
        <v>40</v>
      </c>
      <c r="F20" s="21">
        <f t="shared" si="5"/>
        <v>720</v>
      </c>
    </row>
    <row r="21" spans="1:6" ht="15.6" thickBot="1">
      <c r="A21" s="22" t="s">
        <v>1043</v>
      </c>
      <c r="B21" s="23" t="s">
        <v>493</v>
      </c>
      <c r="C21" s="23">
        <v>1</v>
      </c>
      <c r="D21" s="23">
        <v>1000</v>
      </c>
      <c r="E21" s="23">
        <v>200</v>
      </c>
      <c r="F21" s="24">
        <f t="shared" si="5"/>
        <v>1200</v>
      </c>
    </row>
    <row r="22" spans="1:6" s="28" customFormat="1" ht="15.6">
      <c r="A22" s="25" t="s">
        <v>391</v>
      </c>
      <c r="B22" s="26" t="s">
        <v>1032</v>
      </c>
      <c r="C22" s="26"/>
      <c r="D22" s="26"/>
      <c r="E22" s="26"/>
      <c r="F22" s="27"/>
    </row>
    <row r="23" spans="1:6" ht="15">
      <c r="A23" s="6" t="s">
        <v>1044</v>
      </c>
      <c r="B23" s="7" t="s">
        <v>493</v>
      </c>
      <c r="C23" s="7">
        <v>1</v>
      </c>
      <c r="D23" s="7">
        <v>250</v>
      </c>
      <c r="E23" s="7">
        <v>200</v>
      </c>
      <c r="F23" s="7">
        <f>C23*(D23+E23)</f>
        <v>450</v>
      </c>
    </row>
    <row r="24" spans="1:6" ht="15.6">
      <c r="A24" s="6" t="s">
        <v>1008</v>
      </c>
      <c r="B24" s="7" t="s">
        <v>1032</v>
      </c>
      <c r="C24" s="7">
        <v>1</v>
      </c>
      <c r="D24" s="7">
        <v>50</v>
      </c>
      <c r="E24" s="7">
        <v>20</v>
      </c>
      <c r="F24" s="10">
        <f>C24*(D24+E24)</f>
        <v>70</v>
      </c>
    </row>
    <row r="25" spans="1:6" ht="31.15">
      <c r="A25" s="361" t="s">
        <v>1045</v>
      </c>
      <c r="B25" s="7" t="s">
        <v>1032</v>
      </c>
      <c r="C25" s="7">
        <v>1</v>
      </c>
      <c r="D25" s="7">
        <v>35</v>
      </c>
      <c r="E25" s="7">
        <v>20</v>
      </c>
      <c r="F25" s="10">
        <f>C25*(D25+E25)</f>
        <v>55</v>
      </c>
    </row>
    <row r="26" spans="1:6" ht="30.6">
      <c r="A26" s="29" t="s">
        <v>1046</v>
      </c>
      <c r="B26" s="7" t="s">
        <v>1032</v>
      </c>
      <c r="C26" s="7">
        <v>1</v>
      </c>
      <c r="D26" s="7">
        <v>35</v>
      </c>
      <c r="E26" s="7">
        <v>20</v>
      </c>
      <c r="F26" s="10">
        <f t="shared" ref="F26:F28" si="6">C26*(D26+E26)</f>
        <v>55</v>
      </c>
    </row>
    <row r="27" spans="1:6" ht="15.6">
      <c r="A27" s="29" t="s">
        <v>1047</v>
      </c>
      <c r="B27" s="7" t="s">
        <v>1023</v>
      </c>
      <c r="C27" s="7">
        <v>1</v>
      </c>
      <c r="D27" s="7">
        <v>10</v>
      </c>
      <c r="E27" s="7">
        <v>15</v>
      </c>
      <c r="F27" s="10">
        <f t="shared" si="6"/>
        <v>25</v>
      </c>
    </row>
    <row r="28" spans="1:6" ht="15.6">
      <c r="A28" s="6" t="s">
        <v>1048</v>
      </c>
      <c r="B28" s="7" t="s">
        <v>493</v>
      </c>
      <c r="C28" s="7">
        <v>1</v>
      </c>
      <c r="D28" s="7">
        <v>50</v>
      </c>
      <c r="E28" s="7">
        <v>40</v>
      </c>
      <c r="F28" s="10">
        <f t="shared" si="6"/>
        <v>90</v>
      </c>
    </row>
    <row r="29" spans="1:6" s="28" customFormat="1" ht="15.6">
      <c r="A29" s="30" t="s">
        <v>474</v>
      </c>
      <c r="B29" s="31" t="s">
        <v>1049</v>
      </c>
      <c r="C29" s="31"/>
      <c r="D29" s="31"/>
      <c r="E29" s="31"/>
      <c r="F29" s="32"/>
    </row>
    <row r="30" spans="1:6" s="28" customFormat="1" ht="15.6">
      <c r="A30" s="30" t="s">
        <v>574</v>
      </c>
      <c r="B30" s="31" t="s">
        <v>1032</v>
      </c>
      <c r="C30" s="31"/>
      <c r="D30" s="31"/>
      <c r="E30" s="31"/>
      <c r="F30" s="32"/>
    </row>
    <row r="31" spans="1:6" s="28" customFormat="1" ht="15.6">
      <c r="A31" s="30" t="s">
        <v>463</v>
      </c>
      <c r="B31" s="31" t="s">
        <v>1032</v>
      </c>
      <c r="C31" s="31"/>
      <c r="D31" s="31"/>
      <c r="E31" s="31"/>
      <c r="F31" s="32"/>
    </row>
    <row r="32" spans="1:6" s="28" customFormat="1" ht="15.6">
      <c r="A32" s="75" t="s">
        <v>495</v>
      </c>
      <c r="B32" s="8" t="s">
        <v>493</v>
      </c>
      <c r="C32" s="8"/>
      <c r="D32" s="8"/>
      <c r="E32" s="8"/>
      <c r="F32" s="76">
        <v>10000</v>
      </c>
    </row>
    <row r="33" spans="1:6" s="28" customFormat="1" ht="15.6">
      <c r="A33" s="30" t="s">
        <v>503</v>
      </c>
      <c r="B33" s="31" t="s">
        <v>1032</v>
      </c>
      <c r="C33" s="31"/>
      <c r="D33" s="31"/>
      <c r="E33" s="31"/>
      <c r="F33" s="32"/>
    </row>
    <row r="34" spans="1:6" s="28" customFormat="1" ht="15.6">
      <c r="A34" s="30" t="s">
        <v>1050</v>
      </c>
      <c r="B34" s="31" t="s">
        <v>493</v>
      </c>
      <c r="C34" s="31"/>
      <c r="D34" s="31"/>
      <c r="E34" s="31"/>
      <c r="F34" s="32"/>
    </row>
    <row r="35" spans="1:6" ht="15.6">
      <c r="A35" s="33" t="s">
        <v>1051</v>
      </c>
      <c r="B35" s="34" t="s">
        <v>493</v>
      </c>
      <c r="C35" s="34">
        <v>1</v>
      </c>
      <c r="D35" s="34">
        <v>1200</v>
      </c>
      <c r="E35" s="34">
        <v>200</v>
      </c>
      <c r="F35" s="35">
        <f>C35*(D35+E35)</f>
        <v>1400</v>
      </c>
    </row>
    <row r="36" spans="1:6" s="28" customFormat="1" ht="15.6">
      <c r="A36" s="36" t="s">
        <v>599</v>
      </c>
      <c r="B36" s="31" t="s">
        <v>1032</v>
      </c>
      <c r="C36" s="31"/>
      <c r="D36" s="31"/>
      <c r="E36" s="31"/>
      <c r="F36" s="32"/>
    </row>
    <row r="37" spans="1:6" s="28" customFormat="1" ht="15.6">
      <c r="A37" s="36" t="s">
        <v>568</v>
      </c>
      <c r="B37" s="31" t="s">
        <v>1032</v>
      </c>
      <c r="C37" s="31"/>
      <c r="D37" s="31"/>
      <c r="E37" s="31"/>
      <c r="F37" s="32"/>
    </row>
    <row r="38" spans="1:6" s="28" customFormat="1" ht="15.6">
      <c r="A38" s="30" t="s">
        <v>595</v>
      </c>
      <c r="B38" s="31" t="s">
        <v>1032</v>
      </c>
      <c r="C38" s="31"/>
      <c r="D38" s="31"/>
      <c r="E38" s="31"/>
      <c r="F38" s="32"/>
    </row>
    <row r="39" spans="1:6" s="28" customFormat="1" ht="15.6">
      <c r="A39" s="36" t="s">
        <v>603</v>
      </c>
      <c r="B39" s="31" t="s">
        <v>1032</v>
      </c>
      <c r="C39" s="31"/>
      <c r="D39" s="31"/>
      <c r="E39" s="31"/>
      <c r="F39" s="32"/>
    </row>
    <row r="40" spans="1:6" s="28" customFormat="1" ht="16.149999999999999" thickBot="1">
      <c r="A40" s="37" t="s">
        <v>608</v>
      </c>
      <c r="B40" s="38" t="s">
        <v>1032</v>
      </c>
      <c r="C40" s="38"/>
      <c r="D40" s="38"/>
      <c r="E40" s="38"/>
      <c r="F40" s="39"/>
    </row>
    <row r="41" spans="1:6" ht="30.6">
      <c r="A41" s="16" t="s">
        <v>1052</v>
      </c>
      <c r="B41" s="17" t="s">
        <v>493</v>
      </c>
      <c r="C41" s="17"/>
      <c r="D41" s="40">
        <f t="shared" ref="D41:E41" si="7">D42+D43+D44+D45+D46</f>
        <v>2335</v>
      </c>
      <c r="E41" s="40">
        <f t="shared" si="7"/>
        <v>365</v>
      </c>
      <c r="F41" s="41">
        <f>F42+F43+F44+F45+F46</f>
        <v>4295</v>
      </c>
    </row>
    <row r="42" spans="1:6" ht="15">
      <c r="A42" s="20" t="s">
        <v>1031</v>
      </c>
      <c r="B42" s="7" t="s">
        <v>1032</v>
      </c>
      <c r="C42" s="7">
        <v>30</v>
      </c>
      <c r="D42" s="7">
        <v>35</v>
      </c>
      <c r="E42" s="7">
        <v>20</v>
      </c>
      <c r="F42" s="21">
        <f>C42*(D42+E42)</f>
        <v>1650</v>
      </c>
    </row>
    <row r="43" spans="1:6" ht="15">
      <c r="A43" s="20" t="s">
        <v>1033</v>
      </c>
      <c r="B43" s="7" t="s">
        <v>493</v>
      </c>
      <c r="C43" s="7">
        <v>1</v>
      </c>
      <c r="D43" s="7">
        <v>700</v>
      </c>
      <c r="E43" s="7">
        <v>50</v>
      </c>
      <c r="F43" s="21">
        <f t="shared" ref="F43:F46" si="8">C43*(D43+E43)</f>
        <v>750</v>
      </c>
    </row>
    <row r="44" spans="1:6" ht="15">
      <c r="A44" s="20" t="s">
        <v>1034</v>
      </c>
      <c r="B44" s="7" t="s">
        <v>493</v>
      </c>
      <c r="C44" s="7">
        <v>1</v>
      </c>
      <c r="D44" s="7">
        <v>300</v>
      </c>
      <c r="E44" s="7">
        <v>45</v>
      </c>
      <c r="F44" s="21">
        <f t="shared" si="8"/>
        <v>345</v>
      </c>
    </row>
    <row r="45" spans="1:6" ht="15">
      <c r="A45" s="20" t="s">
        <v>1035</v>
      </c>
      <c r="B45" s="7" t="s">
        <v>493</v>
      </c>
      <c r="C45" s="7">
        <v>1</v>
      </c>
      <c r="D45" s="7">
        <v>1200</v>
      </c>
      <c r="E45" s="7">
        <v>200</v>
      </c>
      <c r="F45" s="21">
        <f t="shared" si="8"/>
        <v>1400</v>
      </c>
    </row>
    <row r="46" spans="1:6" ht="16.149999999999999" thickBot="1">
      <c r="A46" s="42" t="s">
        <v>1053</v>
      </c>
      <c r="B46" s="23" t="s">
        <v>493</v>
      </c>
      <c r="C46" s="23">
        <v>1</v>
      </c>
      <c r="D46" s="23">
        <v>100</v>
      </c>
      <c r="E46" s="23">
        <v>50</v>
      </c>
      <c r="F46" s="43">
        <f t="shared" si="8"/>
        <v>150</v>
      </c>
    </row>
    <row r="47" spans="1:6" ht="30.6">
      <c r="A47" s="16" t="s">
        <v>1054</v>
      </c>
      <c r="B47" s="17" t="s">
        <v>493</v>
      </c>
      <c r="C47" s="17"/>
      <c r="D47" s="40">
        <f t="shared" ref="D47:E47" si="9">D48+D49+D50+D51+D52+D54</f>
        <v>4635</v>
      </c>
      <c r="E47" s="40">
        <f t="shared" si="9"/>
        <v>660</v>
      </c>
      <c r="F47" s="41">
        <f>F48+F49+F50+F51+F52+F54</f>
        <v>6890</v>
      </c>
    </row>
    <row r="48" spans="1:6" ht="15">
      <c r="A48" s="20" t="s">
        <v>1031</v>
      </c>
      <c r="B48" s="7" t="s">
        <v>1032</v>
      </c>
      <c r="C48" s="7">
        <v>30</v>
      </c>
      <c r="D48" s="7">
        <v>35</v>
      </c>
      <c r="E48" s="7">
        <v>20</v>
      </c>
      <c r="F48" s="21">
        <f>C48*(D48+E48)</f>
        <v>1650</v>
      </c>
    </row>
    <row r="49" spans="1:6" ht="15">
      <c r="A49" s="20" t="s">
        <v>1055</v>
      </c>
      <c r="B49" s="7" t="s">
        <v>493</v>
      </c>
      <c r="C49" s="7">
        <v>1</v>
      </c>
      <c r="D49" s="7">
        <v>2300</v>
      </c>
      <c r="E49" s="7">
        <v>300</v>
      </c>
      <c r="F49" s="21">
        <f>C49*(D49+E49)</f>
        <v>2600</v>
      </c>
    </row>
    <row r="50" spans="1:6" ht="15">
      <c r="A50" s="20" t="s">
        <v>1033</v>
      </c>
      <c r="B50" s="7" t="s">
        <v>493</v>
      </c>
      <c r="C50" s="7">
        <v>1</v>
      </c>
      <c r="D50" s="7">
        <v>700</v>
      </c>
      <c r="E50" s="7">
        <v>50</v>
      </c>
      <c r="F50" s="21">
        <f t="shared" ref="F50:F54" si="10">C50*(D50+E50)</f>
        <v>750</v>
      </c>
    </row>
    <row r="51" spans="1:6" ht="15">
      <c r="A51" s="20" t="s">
        <v>1034</v>
      </c>
      <c r="B51" s="7" t="s">
        <v>493</v>
      </c>
      <c r="C51" s="7">
        <v>1</v>
      </c>
      <c r="D51" s="7">
        <v>300</v>
      </c>
      <c r="E51" s="7">
        <v>40</v>
      </c>
      <c r="F51" s="21">
        <f t="shared" si="10"/>
        <v>340</v>
      </c>
    </row>
    <row r="52" spans="1:6" ht="15">
      <c r="A52" s="20" t="s">
        <v>1035</v>
      </c>
      <c r="B52" s="7" t="s">
        <v>493</v>
      </c>
      <c r="C52" s="7">
        <v>1</v>
      </c>
      <c r="D52" s="7">
        <v>1200</v>
      </c>
      <c r="E52" s="7">
        <v>200</v>
      </c>
      <c r="F52" s="21">
        <f t="shared" si="10"/>
        <v>1400</v>
      </c>
    </row>
    <row r="53" spans="1:6" ht="15">
      <c r="A53" s="44" t="s">
        <v>1042</v>
      </c>
      <c r="B53" s="45" t="s">
        <v>493</v>
      </c>
      <c r="C53" s="45">
        <v>3</v>
      </c>
      <c r="D53" s="45">
        <v>200</v>
      </c>
      <c r="E53" s="45">
        <v>40</v>
      </c>
      <c r="F53" s="46">
        <f t="shared" si="10"/>
        <v>720</v>
      </c>
    </row>
    <row r="54" spans="1:6" ht="16.149999999999999" thickBot="1">
      <c r="A54" s="42" t="s">
        <v>1053</v>
      </c>
      <c r="B54" s="23" t="s">
        <v>493</v>
      </c>
      <c r="C54" s="23">
        <v>1</v>
      </c>
      <c r="D54" s="23">
        <v>100</v>
      </c>
      <c r="E54" s="23">
        <v>50</v>
      </c>
      <c r="F54" s="43">
        <f t="shared" si="10"/>
        <v>150</v>
      </c>
    </row>
    <row r="55" spans="1:6" ht="30.6">
      <c r="A55" s="16" t="s">
        <v>1056</v>
      </c>
      <c r="B55" s="17" t="s">
        <v>493</v>
      </c>
      <c r="C55" s="17"/>
      <c r="D55" s="40">
        <f t="shared" ref="D55:E55" si="11">D56+D57+D58+D59+D60+D61+D63</f>
        <v>5635</v>
      </c>
      <c r="E55" s="40">
        <f t="shared" si="11"/>
        <v>880</v>
      </c>
      <c r="F55" s="41">
        <f>F56+F57+F58+F59+F60+F61+F63</f>
        <v>13080</v>
      </c>
    </row>
    <row r="56" spans="1:6" ht="15">
      <c r="A56" s="20" t="s">
        <v>1031</v>
      </c>
      <c r="B56" s="7" t="s">
        <v>1032</v>
      </c>
      <c r="C56" s="7">
        <v>30</v>
      </c>
      <c r="D56" s="7">
        <v>35</v>
      </c>
      <c r="E56" s="7">
        <v>20</v>
      </c>
      <c r="F56" s="21">
        <f>C56*(D56+E56)</f>
        <v>1650</v>
      </c>
    </row>
    <row r="57" spans="1:6" ht="15">
      <c r="A57" s="20" t="s">
        <v>1055</v>
      </c>
      <c r="B57" s="7" t="s">
        <v>493</v>
      </c>
      <c r="C57" s="7">
        <v>2</v>
      </c>
      <c r="D57" s="7">
        <v>2300</v>
      </c>
      <c r="E57" s="7">
        <v>300</v>
      </c>
      <c r="F57" s="21">
        <f>C57*(D57+E57)</f>
        <v>5200</v>
      </c>
    </row>
    <row r="58" spans="1:6" ht="15">
      <c r="A58" s="20" t="s">
        <v>1033</v>
      </c>
      <c r="B58" s="7" t="s">
        <v>493</v>
      </c>
      <c r="C58" s="7">
        <v>3</v>
      </c>
      <c r="D58" s="7">
        <v>700</v>
      </c>
      <c r="E58" s="7">
        <v>60</v>
      </c>
      <c r="F58" s="21">
        <f t="shared" ref="F58:F63" si="12">C58*(D58+E58)</f>
        <v>2280</v>
      </c>
    </row>
    <row r="59" spans="1:6" ht="15">
      <c r="A59" s="20" t="s">
        <v>1034</v>
      </c>
      <c r="B59" s="7" t="s">
        <v>493</v>
      </c>
      <c r="C59" s="7">
        <v>3</v>
      </c>
      <c r="D59" s="7">
        <v>300</v>
      </c>
      <c r="E59" s="7">
        <v>50</v>
      </c>
      <c r="F59" s="21">
        <f t="shared" si="12"/>
        <v>1050</v>
      </c>
    </row>
    <row r="60" spans="1:6" ht="15">
      <c r="A60" s="20" t="s">
        <v>1035</v>
      </c>
      <c r="B60" s="7" t="s">
        <v>493</v>
      </c>
      <c r="C60" s="7">
        <v>1</v>
      </c>
      <c r="D60" s="7">
        <v>1200</v>
      </c>
      <c r="E60" s="7">
        <v>200</v>
      </c>
      <c r="F60" s="21">
        <f t="shared" si="12"/>
        <v>1400</v>
      </c>
    </row>
    <row r="61" spans="1:6" ht="15">
      <c r="A61" s="20" t="s">
        <v>1043</v>
      </c>
      <c r="B61" s="7" t="s">
        <v>493</v>
      </c>
      <c r="C61" s="7">
        <v>1</v>
      </c>
      <c r="D61" s="7">
        <v>1000</v>
      </c>
      <c r="E61" s="7">
        <v>200</v>
      </c>
      <c r="F61" s="21">
        <f t="shared" si="12"/>
        <v>1200</v>
      </c>
    </row>
    <row r="62" spans="1:6" ht="15">
      <c r="A62" s="44" t="s">
        <v>1042</v>
      </c>
      <c r="B62" s="45" t="s">
        <v>493</v>
      </c>
      <c r="C62" s="45">
        <v>5</v>
      </c>
      <c r="D62" s="45">
        <v>200</v>
      </c>
      <c r="E62" s="45">
        <v>40</v>
      </c>
      <c r="F62" s="46">
        <f t="shared" si="12"/>
        <v>1200</v>
      </c>
    </row>
    <row r="63" spans="1:6" ht="16.149999999999999" thickBot="1">
      <c r="A63" s="42" t="s">
        <v>1053</v>
      </c>
      <c r="B63" s="23" t="s">
        <v>493</v>
      </c>
      <c r="C63" s="23">
        <v>2</v>
      </c>
      <c r="D63" s="23">
        <v>100</v>
      </c>
      <c r="E63" s="23">
        <v>50</v>
      </c>
      <c r="F63" s="43">
        <f t="shared" si="12"/>
        <v>300</v>
      </c>
    </row>
    <row r="64" spans="1:6" ht="15.6">
      <c r="A64" s="16" t="s">
        <v>1057</v>
      </c>
      <c r="B64" s="17" t="s">
        <v>493</v>
      </c>
      <c r="C64" s="17"/>
      <c r="D64" s="40">
        <f t="shared" ref="D64:E64" si="13">D65+D66+D68</f>
        <v>1800</v>
      </c>
      <c r="E64" s="40">
        <f t="shared" si="13"/>
        <v>375</v>
      </c>
      <c r="F64" s="41">
        <f>F65+F66+F68</f>
        <v>2175</v>
      </c>
    </row>
    <row r="65" spans="1:6" ht="15.6">
      <c r="A65" s="20" t="s">
        <v>1058</v>
      </c>
      <c r="B65" s="7" t="s">
        <v>493</v>
      </c>
      <c r="C65" s="7">
        <v>1</v>
      </c>
      <c r="D65" s="7">
        <v>500</v>
      </c>
      <c r="E65" s="7">
        <v>125</v>
      </c>
      <c r="F65" s="47">
        <f>C65*(D65+E65)</f>
        <v>625</v>
      </c>
    </row>
    <row r="66" spans="1:6" ht="15.6">
      <c r="A66" s="20" t="s">
        <v>1059</v>
      </c>
      <c r="B66" s="7" t="s">
        <v>493</v>
      </c>
      <c r="C66" s="7">
        <v>1</v>
      </c>
      <c r="D66" s="7">
        <v>750</v>
      </c>
      <c r="E66" s="7">
        <v>100</v>
      </c>
      <c r="F66" s="47">
        <f t="shared" ref="F66:F68" si="14">C66*(D66+E66)</f>
        <v>850</v>
      </c>
    </row>
    <row r="67" spans="1:6" ht="15.6">
      <c r="A67" s="44" t="s">
        <v>1060</v>
      </c>
      <c r="B67" s="45" t="s">
        <v>493</v>
      </c>
      <c r="C67" s="45">
        <v>2</v>
      </c>
      <c r="D67" s="45">
        <v>200</v>
      </c>
      <c r="E67" s="45">
        <v>40</v>
      </c>
      <c r="F67" s="48">
        <f t="shared" si="14"/>
        <v>480</v>
      </c>
    </row>
    <row r="68" spans="1:6" ht="16.149999999999999" thickBot="1">
      <c r="A68" s="22" t="s">
        <v>1061</v>
      </c>
      <c r="B68" s="23" t="s">
        <v>493</v>
      </c>
      <c r="C68" s="23">
        <v>1</v>
      </c>
      <c r="D68" s="23">
        <v>550</v>
      </c>
      <c r="E68" s="23">
        <v>150</v>
      </c>
      <c r="F68" s="43">
        <f t="shared" si="14"/>
        <v>700</v>
      </c>
    </row>
    <row r="69" spans="1:6" ht="30.6">
      <c r="A69" s="16" t="s">
        <v>1062</v>
      </c>
      <c r="B69" s="17" t="s">
        <v>493</v>
      </c>
      <c r="C69" s="17"/>
      <c r="D69" s="40">
        <f t="shared" ref="D69:E69" si="15">D70+D71+D72+D73+D74+D76</f>
        <v>12150</v>
      </c>
      <c r="E69" s="40">
        <f t="shared" si="15"/>
        <v>1475</v>
      </c>
      <c r="F69" s="41">
        <f>F70+F71+F72+F73+F74+F76</f>
        <v>13625</v>
      </c>
    </row>
    <row r="70" spans="1:6" ht="15.6">
      <c r="A70" s="20" t="s">
        <v>1058</v>
      </c>
      <c r="B70" s="7" t="s">
        <v>493</v>
      </c>
      <c r="C70" s="7">
        <v>1</v>
      </c>
      <c r="D70" s="7">
        <v>500</v>
      </c>
      <c r="E70" s="7">
        <v>125</v>
      </c>
      <c r="F70" s="47">
        <f>C70*(D70+E70)</f>
        <v>625</v>
      </c>
    </row>
    <row r="71" spans="1:6" ht="15.6">
      <c r="A71" s="20" t="s">
        <v>1059</v>
      </c>
      <c r="B71" s="7" t="s">
        <v>493</v>
      </c>
      <c r="C71" s="7">
        <v>1</v>
      </c>
      <c r="D71" s="7">
        <v>750</v>
      </c>
      <c r="E71" s="7">
        <v>100</v>
      </c>
      <c r="F71" s="47">
        <f t="shared" ref="F71:F76" si="16">C71*(D71+E71)</f>
        <v>850</v>
      </c>
    </row>
    <row r="72" spans="1:6" ht="15.6">
      <c r="A72" s="20" t="s">
        <v>1063</v>
      </c>
      <c r="B72" s="7" t="s">
        <v>493</v>
      </c>
      <c r="C72" s="7">
        <v>1</v>
      </c>
      <c r="D72" s="7">
        <v>2200</v>
      </c>
      <c r="E72" s="7">
        <v>300</v>
      </c>
      <c r="F72" s="47">
        <f t="shared" si="16"/>
        <v>2500</v>
      </c>
    </row>
    <row r="73" spans="1:6" ht="15.6">
      <c r="A73" s="20" t="s">
        <v>1064</v>
      </c>
      <c r="B73" s="7" t="s">
        <v>493</v>
      </c>
      <c r="C73" s="7">
        <v>1</v>
      </c>
      <c r="D73" s="7">
        <v>3000</v>
      </c>
      <c r="E73" s="7">
        <v>300</v>
      </c>
      <c r="F73" s="47">
        <f t="shared" si="16"/>
        <v>3300</v>
      </c>
    </row>
    <row r="74" spans="1:6" ht="15.6">
      <c r="A74" s="20" t="s">
        <v>1065</v>
      </c>
      <c r="B74" s="7" t="s">
        <v>493</v>
      </c>
      <c r="C74" s="7">
        <v>1</v>
      </c>
      <c r="D74" s="7">
        <v>4200</v>
      </c>
      <c r="E74" s="7">
        <v>450</v>
      </c>
      <c r="F74" s="47">
        <f t="shared" si="16"/>
        <v>4650</v>
      </c>
    </row>
    <row r="75" spans="1:6" ht="15.6">
      <c r="A75" s="44" t="s">
        <v>1060</v>
      </c>
      <c r="B75" s="45" t="s">
        <v>493</v>
      </c>
      <c r="C75" s="45">
        <v>5</v>
      </c>
      <c r="D75" s="45">
        <v>200</v>
      </c>
      <c r="E75" s="45">
        <v>40</v>
      </c>
      <c r="F75" s="48">
        <f t="shared" si="16"/>
        <v>1200</v>
      </c>
    </row>
    <row r="76" spans="1:6" ht="16.149999999999999" thickBot="1">
      <c r="A76" s="22" t="s">
        <v>1066</v>
      </c>
      <c r="B76" s="23" t="s">
        <v>493</v>
      </c>
      <c r="C76" s="23">
        <v>1</v>
      </c>
      <c r="D76" s="23">
        <v>1500</v>
      </c>
      <c r="E76" s="23">
        <v>200</v>
      </c>
      <c r="F76" s="43">
        <f t="shared" si="16"/>
        <v>1700</v>
      </c>
    </row>
    <row r="77" spans="1:6" ht="30.6">
      <c r="A77" s="16" t="s">
        <v>1067</v>
      </c>
      <c r="B77" s="17" t="s">
        <v>493</v>
      </c>
      <c r="C77" s="17"/>
      <c r="D77" s="40">
        <f t="shared" ref="D77:E77" si="17">D78+D79+D80+D81+D82+D83+D85</f>
        <v>27050</v>
      </c>
      <c r="E77" s="40">
        <f t="shared" si="17"/>
        <v>3275</v>
      </c>
      <c r="F77" s="41">
        <f>F78+F79+F80+F81+F82+F83+F85</f>
        <v>30325</v>
      </c>
    </row>
    <row r="78" spans="1:6" ht="15.6">
      <c r="A78" s="20" t="s">
        <v>1058</v>
      </c>
      <c r="B78" s="7" t="s">
        <v>493</v>
      </c>
      <c r="C78" s="7">
        <v>1</v>
      </c>
      <c r="D78" s="7">
        <v>500</v>
      </c>
      <c r="E78" s="7">
        <v>125</v>
      </c>
      <c r="F78" s="47">
        <f>C78*(D78+E78)</f>
        <v>625</v>
      </c>
    </row>
    <row r="79" spans="1:6" ht="15.6">
      <c r="A79" s="20" t="s">
        <v>1059</v>
      </c>
      <c r="B79" s="7" t="s">
        <v>493</v>
      </c>
      <c r="C79" s="7">
        <v>1</v>
      </c>
      <c r="D79" s="7">
        <v>750</v>
      </c>
      <c r="E79" s="7">
        <v>100</v>
      </c>
      <c r="F79" s="47">
        <f t="shared" ref="F79:F85" si="18">C79*(D79+E79)</f>
        <v>850</v>
      </c>
    </row>
    <row r="80" spans="1:6" ht="15.6">
      <c r="A80" s="20" t="s">
        <v>1068</v>
      </c>
      <c r="B80" s="7" t="s">
        <v>493</v>
      </c>
      <c r="C80" s="7">
        <v>1</v>
      </c>
      <c r="D80" s="7">
        <v>2200</v>
      </c>
      <c r="E80" s="7">
        <v>300</v>
      </c>
      <c r="F80" s="47">
        <f t="shared" si="18"/>
        <v>2500</v>
      </c>
    </row>
    <row r="81" spans="1:6" ht="15.6">
      <c r="A81" s="20" t="s">
        <v>1069</v>
      </c>
      <c r="B81" s="7" t="s">
        <v>493</v>
      </c>
      <c r="C81" s="7">
        <v>1</v>
      </c>
      <c r="D81" s="7">
        <v>15000</v>
      </c>
      <c r="E81" s="7">
        <v>1500</v>
      </c>
      <c r="F81" s="47">
        <f t="shared" si="18"/>
        <v>16500</v>
      </c>
    </row>
    <row r="82" spans="1:6" ht="15.6">
      <c r="A82" s="20" t="s">
        <v>1070</v>
      </c>
      <c r="B82" s="7" t="s">
        <v>493</v>
      </c>
      <c r="C82" s="7">
        <v>1</v>
      </c>
      <c r="D82" s="7">
        <v>3500</v>
      </c>
      <c r="E82" s="7">
        <v>500</v>
      </c>
      <c r="F82" s="47">
        <f t="shared" si="18"/>
        <v>4000</v>
      </c>
    </row>
    <row r="83" spans="1:6" ht="15.6">
      <c r="A83" s="20" t="s">
        <v>1071</v>
      </c>
      <c r="B83" s="7" t="s">
        <v>493</v>
      </c>
      <c r="C83" s="7">
        <v>1</v>
      </c>
      <c r="D83" s="7">
        <v>3300</v>
      </c>
      <c r="E83" s="7">
        <v>500</v>
      </c>
      <c r="F83" s="47">
        <f t="shared" si="18"/>
        <v>3800</v>
      </c>
    </row>
    <row r="84" spans="1:6" ht="15.6">
      <c r="A84" s="44" t="s">
        <v>1042</v>
      </c>
      <c r="B84" s="45" t="s">
        <v>493</v>
      </c>
      <c r="C84" s="45">
        <v>10</v>
      </c>
      <c r="D84" s="45">
        <v>200</v>
      </c>
      <c r="E84" s="45">
        <v>40</v>
      </c>
      <c r="F84" s="48">
        <f t="shared" si="18"/>
        <v>2400</v>
      </c>
    </row>
    <row r="85" spans="1:6" ht="16.149999999999999" thickBot="1">
      <c r="A85" s="22" t="s">
        <v>1072</v>
      </c>
      <c r="B85" s="23" t="s">
        <v>493</v>
      </c>
      <c r="C85" s="23">
        <v>1</v>
      </c>
      <c r="D85" s="23">
        <v>1800</v>
      </c>
      <c r="E85" s="23">
        <v>250</v>
      </c>
      <c r="F85" s="43">
        <f t="shared" si="18"/>
        <v>2050</v>
      </c>
    </row>
    <row r="86" spans="1:6" ht="26.25" customHeight="1">
      <c r="A86" s="16" t="s">
        <v>1073</v>
      </c>
      <c r="B86" s="17" t="s">
        <v>493</v>
      </c>
      <c r="C86" s="17"/>
      <c r="D86" s="17"/>
      <c r="E86" s="17"/>
      <c r="F86" s="41">
        <f>F87+F77+F69+F64</f>
        <v>59875</v>
      </c>
    </row>
    <row r="87" spans="1:6" ht="16.149999999999999" thickBot="1">
      <c r="A87" s="22" t="s">
        <v>1016</v>
      </c>
      <c r="B87" s="23" t="s">
        <v>1074</v>
      </c>
      <c r="C87" s="23">
        <v>5</v>
      </c>
      <c r="D87" s="23">
        <v>2500</v>
      </c>
      <c r="E87" s="23">
        <v>250</v>
      </c>
      <c r="F87" s="43">
        <f>C87*(D87+E87)</f>
        <v>13750</v>
      </c>
    </row>
    <row r="88" spans="1:6" ht="15">
      <c r="A88" s="49" t="s">
        <v>1075</v>
      </c>
      <c r="B88" s="50" t="s">
        <v>1032</v>
      </c>
      <c r="C88" s="50">
        <v>1</v>
      </c>
      <c r="D88" s="51">
        <v>45</v>
      </c>
      <c r="E88" s="51">
        <v>30</v>
      </c>
      <c r="F88" s="51">
        <f>C88*(D88+E88)</f>
        <v>75</v>
      </c>
    </row>
    <row r="89" spans="1:6" ht="15.6">
      <c r="A89" s="1" t="s">
        <v>656</v>
      </c>
      <c r="B89" s="4" t="s">
        <v>1032</v>
      </c>
      <c r="C89" s="4"/>
      <c r="D89" s="4"/>
      <c r="E89" s="4"/>
      <c r="F89" s="12"/>
    </row>
    <row r="90" spans="1:6" ht="47.45">
      <c r="A90" s="5" t="s">
        <v>669</v>
      </c>
      <c r="B90" s="9" t="s">
        <v>1076</v>
      </c>
      <c r="C90" s="9"/>
      <c r="D90" s="9"/>
      <c r="E90" s="9"/>
      <c r="F90" s="12"/>
    </row>
    <row r="91" spans="1:6" ht="15.6">
      <c r="A91" s="20" t="s">
        <v>571</v>
      </c>
      <c r="B91" s="7" t="s">
        <v>493</v>
      </c>
      <c r="C91" s="45">
        <v>1</v>
      </c>
      <c r="D91" s="45"/>
      <c r="E91" s="45"/>
      <c r="F91" s="182">
        <v>15000</v>
      </c>
    </row>
    <row r="92" spans="1:6" ht="15.6">
      <c r="A92" s="20" t="s">
        <v>1017</v>
      </c>
      <c r="B92" s="7" t="s">
        <v>838</v>
      </c>
      <c r="C92" s="45"/>
      <c r="D92" s="45"/>
      <c r="E92" s="45"/>
      <c r="F92" s="183">
        <v>5000</v>
      </c>
    </row>
    <row r="93" spans="1:6" ht="15.6">
      <c r="A93" s="20" t="s">
        <v>1018</v>
      </c>
      <c r="B93" s="7" t="s">
        <v>493</v>
      </c>
      <c r="C93" s="157">
        <v>1</v>
      </c>
      <c r="D93" s="157"/>
      <c r="E93" s="157"/>
      <c r="F93" s="184">
        <v>15000</v>
      </c>
    </row>
    <row r="94" spans="1:6" ht="15.6">
      <c r="A94" s="20" t="s">
        <v>1077</v>
      </c>
      <c r="B94" s="7" t="s">
        <v>493</v>
      </c>
      <c r="C94" s="157">
        <v>1</v>
      </c>
      <c r="D94" s="157"/>
      <c r="E94" s="157"/>
      <c r="F94" s="184">
        <v>10000</v>
      </c>
    </row>
    <row r="95" spans="1:6" ht="15.6">
      <c r="A95" s="20" t="s">
        <v>1078</v>
      </c>
      <c r="B95" s="7" t="s">
        <v>872</v>
      </c>
      <c r="C95" s="157">
        <v>1</v>
      </c>
      <c r="D95" s="157"/>
      <c r="E95" s="157"/>
      <c r="F95" s="184">
        <v>2000</v>
      </c>
    </row>
  </sheetData>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I E E A A B Q S w M E F A A C A A g A W Y j a V m S s 0 c W k A A A A 9 g A A A B I A H A B D b 2 5 m a W c v U G F j a 2 F n Z S 5 4 b W w g o h g A K K A U A A A A A A A A A A A A A A A A A A A A A A A A A A A A h Y 8 x D o I w G I W v Q r r T l p K o I T 9 l c I X E x I S 4 N q V i I x R D C + V u D h 7 J K 4 h R 1 M 3 x f e 8 b 3 r t f b 5 B N b R O M q r e 6 M y m K M E W B M r K r t K l T N L h j u E E Z h 5 2 Q Z 1 G r Y J a N T S Z b p e j k 3 C U h x H u P f Y y 7 v i a M 0 o g c i n w v T 6 o V 6 C P r / 3 K o j X X C S I U 4 l K 8 x n O E o W u N 4 x T A F s k A o t P k K b N 7 7 b H 8 g b I f G D b 3 i z R j m J Z A l A n l / 4 A 9 Q S w M E F A A C A A g A W Y j a 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m I 2 l a + p e d V e w E A A C Q D A A A T A B w A R m 9 y b X V s Y X M v U 2 V j d G l v b j E u b S C i G A A o o B Q A A A A A A A A A A A A A A A A A A A A A A A A A A A B 9 k k 1 u w j A U h P d I 3 O E p 3 Q Q p p Y L S b h C L i r K o K r U V 0 H a B W L w k L h j H d m Q 7 i B + x 4 A w 5 B g f o B X y w G q i Q g E A 2 V j z f z B s n 1 i Q y V A r o 7 d d a s 1 w q l / Q Y F Y m h j 2 F C G n V o Q U J M u Q T u 6 c l M R c T t d G Y R S a r t T C k i z L d U L J S S + Z X l 4 A 0 5 a X n / V m + 4 G r S l M I 4 Z B v u E G 6 8 9 R j H a x s 9 T 4 r m o H V v t K x T 6 R y r e l k n G x V b U / n 5 c s F x 6 X b u J 7 C Z E D U z G 2 g v A O A A M m Z l V A E v v K Y 0 X d j O V B m F K i c E z 4 D 2 c E G Y O R h T z 3 f Y z q p C C 3 I l 2 f a p 2 X V F 9 W w O f E 2 V / M Y u p k Y p O s F I M 1 s H H l B O W 2 H y S c Q o j j O 3 6 A n s P f k S T q c 2 Z N p m I 3 b m u 0 Y 2 z C n D X + e x e o B + K e l z h H 4 u 7 F D q + a O x S k W p Q W + + p / K G o q + c + p S G Q 2 j w C N s W E G j T u 5 + C E E g 5 s K + f u C O 7 l 1 P 2 y 4 M g 0 6 g D c 6 E s i s I x n y S 6 R F o K v M r V r S F E d D 7 d r D u m h n s 3 5 0 R 1 Z V c o l K g q v a P M P U E s B A i 0 A F A A C A A g A W Y j a V m S s 0 c W k A A A A 9 g A A A B I A A A A A A A A A A A A A A A A A A A A A A E N v b m Z p Z y 9 Q Y W N r Y W d l L n h t b F B L A Q I t A B Q A A g A I A F m I 2 l Y P y u m r p A A A A O k A A A A T A A A A A A A A A A A A A A A A A P A A A A B b Q 2 9 u d G V u d F 9 U e X B l c 1 0 u e G 1 s U E s B A i 0 A F A A C A A g A W Y j a V r 6 l 5 1 V 7 A Q A A J A M A A B M A A A A A A A A A A A A A A A A A 4 Q E A A E Z v c m 1 1 b G F z L 1 N l Y 3 R p b 2 4 x L m 1 Q S w U G A A A A A A M A A w D C A A A A q 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g x I A A A A A A A B h E 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R h Y m x l N D I 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F k Z G V k V G 9 E Y X R h T W 9 k Z W w i I F Z h b H V l P S J s M C I g L z 4 8 R W 5 0 c n k g V H l w Z T 0 i R m l s b E N v d W 5 0 I i B W Y W x 1 Z T 0 i b D E 4 O C I g L z 4 8 R W 5 0 c n k g V H l w Z T 0 i R m l s b E V y c m 9 y Q 2 9 k Z S I g V m F s d W U 9 I n N V b m t u b 3 d u I i A v P j x F b n R y e S B U e X B l P S J G a W x s R X J y b 3 J D b 3 V u d C I g V m F s d W U 9 I m w x N z k i I C 8 + P E V u d H J 5 I F R 5 c G U 9 I k Z p b G x M Y X N 0 V X B k Y X R l Z C I g V m F s d W U 9 I m Q y M D I z L T A 2 L T I 2 V D E 0 O j A y O j M z L j E y N D Y y N j d a I i A v P j x F b n R y e S B U e X B l P S J G a W x s Q 2 9 s d W 1 u V H l w Z X M i I F Z h b H V l P S J z Q m d Z Q U F B Q U F B Q U F B Q U F B Q U F B Q U c i I C 8 + P E V u d H J 5 I F R 5 c G U 9 I k Z p b G x D b 2 x 1 b W 5 O Y W 1 l c y I g V m F s d W U 9 I n N b J n F 1 b 3 Q 7 U s S r Y 8 S r Y m F z I G t v Z H M m c X V v d D s s J n F 1 b 3 Q 7 Q X B k e s S r d m 9 0 Y S B 2 a W V 0 Y S Z x d W 9 0 O y w m c X V v d D t P Y m p l a 3 R z J n F 1 b 3 Q 7 L C Z x d W 9 0 O 0 R h c m J p I G 9 i a m V r d M S B J n F 1 b 3 Q 7 L C Z x d W 9 0 O 1 J h b m d z L T E g K G 1 l c s S 3 Y X V k a X R v c m l q Y S k m c X V v d D s s J n F 1 b 3 Q 7 U m F u Z 3 M t M i A o Y X B t Z W t s x J N q d W 1 p I G d h Z M S B K S Z x d W 9 0 O y w m c X V v d D t S Y W 5 n c y 0 z I C h j a W x 2 x J N r c 3 R 1 b m R h c y B n Y W T E g S k m c X V v d D s s J n F 1 b 3 Q 7 U m F u Z 3 M t N C A o b W V y x L d h d W R p d G 9 y a W p h I C 9 F V V I p J n F 1 b 3 Q 7 L C Z x d W 9 0 O 1 J h b m d z L T U g K G F w b W V r b M S T a n V t a S B n Y W T E g S 9 F V V I p J n F 1 b 3 Q 7 L C Z x d W 9 0 O 1 J h b m d z L T Y g K G N p b H b E k 2 t z d H V u Z G F z I G d h Z M S B L 0 V V U i k m c X V v d D s s J n F 1 b 3 Q 7 V m l k x J N q Y W l z I H J h b m d z J n F 1 b 3 Q 7 L C Z x d W 9 0 O 1 B y a W 9 y a X T E g X R l I H D E k 2 M g a 3 Z h b G l 0 Y X T E q 3 Z h a m l l b S B r c m l 0 x J N y a W p p Z W 0 m c X V v d D s s J n F 1 b 3 Q 7 S X p t Y W t z Y X M s I E V V U i Z x d W 9 0 O y w m c X V v d D t J e m 1 h a 3 N h c y B r d W 1 1 b G F 0 x K t 2 a S w g R V V S J n F 1 b 3 Q 7 L C Z x d W 9 0 O 0 t v c M S B I H B h c i B r d m F s a X R h d M S r d m F q x I F t I H B y a W 9 y a X T E g X T E k 2 0 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V G F i b G U 0 M i 9 D a G F u Z 2 V k I F R 5 c G U u e 1 L E q 2 P E q 2 J h c y B r b 2 R z L D B 9 J n F 1 b 3 Q 7 L C Z x d W 9 0 O 1 N l Y 3 R p b 2 4 x L 1 R h Y m x l N D I v Q 2 h h b m d l Z C B U e X B l L n t B c G R 6 x K t 2 b 3 R h I H Z p Z X R h L D F 9 J n F 1 b 3 Q 7 L C Z x d W 9 0 O 1 N l Y 3 R p b 2 4 x L 1 R h Y m x l N D I v Q 2 h h b m d l Z C B U e X B l L n t P Y m p l a 3 R z L D J 9 J n F 1 b 3 Q 7 L C Z x d W 9 0 O 1 N l Y 3 R p b 2 4 x L 1 R h Y m x l N D I v Q 2 h h b m d l Z C B U e X B l L n t E Y X J i a S B v Y m p l a 3 T E g S w z f S Z x d W 9 0 O y w m c X V v d D t T Z W N 0 a W 9 u M S 9 U Y W J s Z T Q y L 0 N o Y W 5 n Z W Q g V H l w Z S 5 7 U m F u Z 3 M t M S A o b W V y x L d h d W R p d G 9 y a W p h K S w 0 f S Z x d W 9 0 O y w m c X V v d D t T Z W N 0 a W 9 u M S 9 U Y W J s Z T Q y L 0 N o Y W 5 n Z W Q g V H l w Z S 5 7 U m F u Z 3 M t M i A o Y X B t Z W t s x J N q d W 1 p I G d h Z M S B K S w 1 f S Z x d W 9 0 O y w m c X V v d D t T Z W N 0 a W 9 u M S 9 U Y W J s Z T Q y L 0 N o Y W 5 n Z W Q g V H l w Z S 5 7 U m F u Z 3 M t M y A o Y 2 l s d s S T a 3 N 0 d W 5 k Y X M g Z 2 F k x I E p L D Z 9 J n F 1 b 3 Q 7 L C Z x d W 9 0 O 1 N l Y 3 R p b 2 4 x L 1 R h Y m x l N D I v Q 2 h h b m d l Z C B U e X B l L n t S Y W 5 n c y 0 0 I C h t Z X L E t 2 F 1 Z G l 0 b 3 J p a m E g L 0 V V U i k s N 3 0 m c X V v d D s s J n F 1 b 3 Q 7 U 2 V j d G l v b j E v V G F i b G U 0 M i 9 D a G F u Z 2 V k I F R 5 c G U u e 1 J h b m d z L T U g K G F w b W V r b M S T a n V t a S B n Y W T E g S 9 F V V I p L D h 9 J n F 1 b 3 Q 7 L C Z x d W 9 0 O 1 N l Y 3 R p b 2 4 x L 1 R h Y m x l N D I v Q 2 h h b m d l Z C B U e X B l L n t S Y W 5 n c y 0 2 I C h j a W x 2 x J N r c 3 R 1 b m R h c y B n Y W T E g S 9 F V V I p L D l 9 J n F 1 b 3 Q 7 L C Z x d W 9 0 O 1 N l Y 3 R p b 2 4 x L 1 R h Y m x l N D I v Q 2 h h b m d l Z C B U e X B l L n t W a W T E k 2 p h a X M g c m F u Z 3 M s M T B 9 J n F 1 b 3 Q 7 L C Z x d W 9 0 O 1 N l Y 3 R p b 2 4 x L 1 R h Y m x l N D I v Q 2 h h b m d l Z C B U e X B l L n t Q c m l v c m l 0 x I F 0 Z S B w x J N j I G t 2 Y W x p d G F 0 x K t 2 Y W p p Z W 0 g a 3 J p d M S T c m l q a W V t L D E x f S Z x d W 9 0 O y w m c X V v d D t T Z W N 0 a W 9 u M S 9 U Y W J s Z T Q y L 0 N o Y W 5 n Z W Q g V H l w Z S 5 7 S X p t Y W t z Y X M s I E V V U i w x M n 0 m c X V v d D s s J n F 1 b 3 Q 7 U 2 V j d G l v b j E v V G F i b G U 0 M i 9 D a G F u Z 2 V k I F R 5 c G U u e 0 l 6 b W F r c 2 F z I G t 1 b X V s Y X T E q 3 Z p L C B F V V I s M T N 9 J n F 1 b 3 Q 7 L C Z x d W 9 0 O 1 N l Y 3 R p b 2 4 x L 1 R h Y m x l N D I v Q 2 h h b m d l Z C B U e X B l L n t L b 3 D E g S B w Y X I g a 3 Z h b G l 0 Y X T E q 3 Z h a s S B b S B w c m l v c m l 0 x I F 0 x J N t L D E 0 f S Z x d W 9 0 O 1 0 s J n F 1 b 3 Q 7 Q 2 9 s d W 1 u Q 2 9 1 b n Q m c X V v d D s 6 M T U s J n F 1 b 3 Q 7 S 2 V 5 Q 2 9 s d W 1 u T m F t Z X M m c X V v d D s 6 W 1 0 s J n F 1 b 3 Q 7 Q 2 9 s d W 1 u S W R l b n R p d G l l c y Z x d W 9 0 O z p b J n F 1 b 3 Q 7 U 2 V j d G l v b j E v V G F i b G U 0 M i 9 D a G F u Z 2 V k I F R 5 c G U u e 1 L E q 2 P E q 2 J h c y B r b 2 R z L D B 9 J n F 1 b 3 Q 7 L C Z x d W 9 0 O 1 N l Y 3 R p b 2 4 x L 1 R h Y m x l N D I v Q 2 h h b m d l Z C B U e X B l L n t B c G R 6 x K t 2 b 3 R h I H Z p Z X R h L D F 9 J n F 1 b 3 Q 7 L C Z x d W 9 0 O 1 N l Y 3 R p b 2 4 x L 1 R h Y m x l N D I v Q 2 h h b m d l Z C B U e X B l L n t P Y m p l a 3 R z L D J 9 J n F 1 b 3 Q 7 L C Z x d W 9 0 O 1 N l Y 3 R p b 2 4 x L 1 R h Y m x l N D I v Q 2 h h b m d l Z C B U e X B l L n t E Y X J i a S B v Y m p l a 3 T E g S w z f S Z x d W 9 0 O y w m c X V v d D t T Z W N 0 a W 9 u M S 9 U Y W J s Z T Q y L 0 N o Y W 5 n Z W Q g V H l w Z S 5 7 U m F u Z 3 M t M S A o b W V y x L d h d W R p d G 9 y a W p h K S w 0 f S Z x d W 9 0 O y w m c X V v d D t T Z W N 0 a W 9 u M S 9 U Y W J s Z T Q y L 0 N o Y W 5 n Z W Q g V H l w Z S 5 7 U m F u Z 3 M t M i A o Y X B t Z W t s x J N q d W 1 p I G d h Z M S B K S w 1 f S Z x d W 9 0 O y w m c X V v d D t T Z W N 0 a W 9 u M S 9 U Y W J s Z T Q y L 0 N o Y W 5 n Z W Q g V H l w Z S 5 7 U m F u Z 3 M t M y A o Y 2 l s d s S T a 3 N 0 d W 5 k Y X M g Z 2 F k x I E p L D Z 9 J n F 1 b 3 Q 7 L C Z x d W 9 0 O 1 N l Y 3 R p b 2 4 x L 1 R h Y m x l N D I v Q 2 h h b m d l Z C B U e X B l L n t S Y W 5 n c y 0 0 I C h t Z X L E t 2 F 1 Z G l 0 b 3 J p a m E g L 0 V V U i k s N 3 0 m c X V v d D s s J n F 1 b 3 Q 7 U 2 V j d G l v b j E v V G F i b G U 0 M i 9 D a G F u Z 2 V k I F R 5 c G U u e 1 J h b m d z L T U g K G F w b W V r b M S T a n V t a S B n Y W T E g S 9 F V V I p L D h 9 J n F 1 b 3 Q 7 L C Z x d W 9 0 O 1 N l Y 3 R p b 2 4 x L 1 R h Y m x l N D I v Q 2 h h b m d l Z C B U e X B l L n t S Y W 5 n c y 0 2 I C h j a W x 2 x J N r c 3 R 1 b m R h c y B n Y W T E g S 9 F V V I p L D l 9 J n F 1 b 3 Q 7 L C Z x d W 9 0 O 1 N l Y 3 R p b 2 4 x L 1 R h Y m x l N D I v Q 2 h h b m d l Z C B U e X B l L n t W a W T E k 2 p h a X M g c m F u Z 3 M s M T B 9 J n F 1 b 3 Q 7 L C Z x d W 9 0 O 1 N l Y 3 R p b 2 4 x L 1 R h Y m x l N D I v Q 2 h h b m d l Z C B U e X B l L n t Q c m l v c m l 0 x I F 0 Z S B w x J N j I G t 2 Y W x p d G F 0 x K t 2 Y W p p Z W 0 g a 3 J p d M S T c m l q a W V t L D E x f S Z x d W 9 0 O y w m c X V v d D t T Z W N 0 a W 9 u M S 9 U Y W J s Z T Q y L 0 N o Y W 5 n Z W Q g V H l w Z S 5 7 S X p t Y W t z Y X M s I E V V U i w x M n 0 m c X V v d D s s J n F 1 b 3 Q 7 U 2 V j d G l v b j E v V G F i b G U 0 M i 9 D a G F u Z 2 V k I F R 5 c G U u e 0 l 6 b W F r c 2 F z I G t 1 b X V s Y X T E q 3 Z p L C B F V V I s M T N 9 J n F 1 b 3 Q 7 L C Z x d W 9 0 O 1 N l Y 3 R p b 2 4 x L 1 R h Y m x l N D I v Q 2 h h b m d l Z C B U e X B l L n t L b 3 D E g S B w Y X I g a 3 Z h b G l 0 Y X T E q 3 Z h a s S B b S B w c m l v c m l 0 x I F 0 x J N t L D E 0 f S Z x d W 9 0 O 1 0 s J n F 1 b 3 Q 7 U m V s Y X R p b 2 5 z a G l w S W 5 m b y Z x d W 9 0 O z p b X X 0 i I C 8 + P C 9 T d G F i b G V F b n R y a W V z P j w v S X R l b T 4 8 S X R l b T 4 8 S X R l b U x v Y 2 F 0 a W 9 u P j x J d G V t V H l w Z T 5 G b 3 J t d W x h P C 9 J d G V t V H l w Z T 4 8 S X R l b V B h d G g + U 2 V j d G l v b j E v V G F i b G U 0 M i 9 T b 3 V y Y 2 U 8 L 0 l 0 Z W 1 Q Y X R o P j w v S X R l b U x v Y 2 F 0 a W 9 u P j x T d G F i b G V F b n R y a W V z I C 8 + P C 9 J d G V t P j x J d G V t P j x J d G V t T G 9 j Y X R p b 2 4 + P E l 0 Z W 1 U e X B l P k Z v c m 1 1 b G E 8 L 0 l 0 Z W 1 U e X B l P j x J d G V t U G F 0 a D 5 T Z W N 0 a W 9 u M S 9 U Y W J s Z T Q y L 0 N o Y W 5 n Z W Q l M j B U e X B l P C 9 J d G V t U G F 0 a D 4 8 L 0 l 0 Z W 1 M b 2 N h d G l v b j 4 8 U 3 R h Y m x l R W 5 0 c m l l c y A v P j w v S X R l b T 4 8 L 0 l 0 Z W 1 z P j w v T G 9 j Y W x Q Y W N r Y W d l T W V 0 Y W R h d G F G a W x l P h Y A A A B Q S w U G A A A A A A A A A A A A A A A A A A A A A A A A J g E A A A E A A A D Q j J 3 f A R X R E Y x 6 A M B P w p f r A Q A A A A c 2 t B + S / u 9 O s z e I B 8 I r L E 0 A A A A A A g A A A A A A E G Y A A A A B A A A g A A A A j K E r R n p Z m 5 U l B C a 7 s 1 0 w T q m M a t U k O G A B V L 1 Q C I Q p 8 G g A A A A A D o A A A A A C A A A g A A A A q 4 y J L F m J E 0 J x F s U Q x 6 B C J J 2 T B 7 t T e M + + S I 9 h O m 7 7 4 q V Q A A A A p 5 L R 1 B l k S / + i e K N n T b G H Z 8 7 w 7 g j 4 4 s U u 9 q l u 3 U c w M 1 + I k C U x Q U t u 9 d h i H j j v 4 s 0 Q t 9 p b Z w q L W c a I a w e m g 4 Z k L 5 q z N H X t 7 J x 4 G 4 W I j / q t 4 q J A A A A A D n L o G q K X l y r e K S r 9 s g x H n v x m U Q B p n X I q K u b y E 0 O y Q a O d 6 I F y K j 1 4 p k 3 s a Z q W 9 x X I U G N 1 D Z J z U O + b z 5 X p 0 B L B u w = = < / D a t a M a s h u p > 
</file>

<file path=customXml/itemProps1.xml><?xml version="1.0" encoding="utf-8"?>
<ds:datastoreItem xmlns:ds="http://schemas.openxmlformats.org/officeDocument/2006/customXml" ds:itemID="{E110665D-628A-4B00-B959-09B55F3B5B3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2023-05-22T17:23:52Z</dcterms:created>
  <dcterms:modified xsi:type="dcterms:W3CDTF">2023-07-14T05:45:00Z</dcterms:modified>
  <cp:category/>
  <cp:contentStatus/>
</cp:coreProperties>
</file>