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25" windowWidth="15480" windowHeight="9750" tabRatio="946" activeTab="0"/>
  </bookViews>
  <sheets>
    <sheet name="Pasūtītāja kopt." sheetId="1" r:id="rId1"/>
    <sheet name="Būvniecības kopt." sheetId="2" r:id="rId2"/>
    <sheet name="kopsavilkums" sheetId="3" r:id="rId3"/>
    <sheet name="LKT-1;Delfīniju " sheetId="4" r:id="rId4"/>
    <sheet name="LKT-2;Krokusu " sheetId="5" r:id="rId5"/>
    <sheet name="LKT-3;Cīruļu" sheetId="6" r:id="rId6"/>
    <sheet name="LKT-4;Prīmulu" sheetId="7" r:id="rId7"/>
    <sheet name="LKT-5;Vijolīšu" sheetId="8" r:id="rId8"/>
    <sheet name="LKT-6;Lefkoju" sheetId="9" r:id="rId9"/>
    <sheet name="LKT-7;Dāliju" sheetId="10" r:id="rId10"/>
    <sheet name="LKT-8;Liliju" sheetId="11" r:id="rId11"/>
    <sheet name="LKT-9;Flokšu" sheetId="12" r:id="rId12"/>
  </sheets>
  <externalReferences>
    <externalReference r:id="rId15"/>
    <externalReference r:id="rId16"/>
  </externalReferences>
  <definedNames>
    <definedName name="_xlnm.Print_Area" localSheetId="3">'LKT-1;Delfīniju '!$A$2:$O$98</definedName>
    <definedName name="_xlnm.Print_Area" localSheetId="4">'LKT-2;Krokusu '!$A$2:$O$107</definedName>
    <definedName name="_xlnm.Print_Area" localSheetId="5">'LKT-3;Cīruļu'!$A$2:$O$109</definedName>
    <definedName name="_xlnm.Print_Area" localSheetId="6">'LKT-4;Prīmulu'!$A$2:$O$93</definedName>
    <definedName name="_xlnm.Print_Area" localSheetId="7">'LKT-5;Vijolīšu'!$A$2:$O$88</definedName>
    <definedName name="_xlnm.Print_Area" localSheetId="8">'LKT-6;Lefkoju'!$A$2:$O$91</definedName>
    <definedName name="_xlnm.Print_Area" localSheetId="9">'LKT-7;Dāliju'!$A$2:$O$102</definedName>
    <definedName name="_xlnm.Print_Area" localSheetId="10">'LKT-8;Liliju'!$A$2:$O$91</definedName>
    <definedName name="_xlnm.Print_Area" localSheetId="11">'LKT-9;Flokšu'!$A$2:$O$89</definedName>
    <definedName name="_xlnm.Print_Titles" localSheetId="3">'LKT-1;Delfīniju '!$9:$11</definedName>
    <definedName name="_xlnm.Print_Titles" localSheetId="4">'LKT-2;Krokusu '!$10:$12</definedName>
    <definedName name="_xlnm.Print_Titles" localSheetId="6">'LKT-4;Prīmulu'!$9:$11</definedName>
    <definedName name="_xlnm.Print_Titles" localSheetId="8">'LKT-6;Lefkoju'!$9:$11</definedName>
    <definedName name="_xlnm.Print_Titles" localSheetId="9">'LKT-7;Dāliju'!$9:$11</definedName>
    <definedName name="_xlnm.Print_Titles" localSheetId="10">'LKT-8;Liliju'!$9:$11</definedName>
    <definedName name="_xlnm.Print_Titles" localSheetId="11">'LKT-9;Flokšu'!$9:$11</definedName>
  </definedNames>
  <calcPr fullCalcOnLoad="1"/>
</workbook>
</file>

<file path=xl/sharedStrings.xml><?xml version="1.0" encoding="utf-8"?>
<sst xmlns="http://schemas.openxmlformats.org/spreadsheetml/2006/main" count="2043" uniqueCount="751">
  <si>
    <r>
      <t>Lietusūdens kanalizācijas izlaides nostiprināšana (2m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ar laukakmens bruģi betonā B20</t>
    </r>
  </si>
  <si>
    <t>Laukakmens d=100mm</t>
  </si>
  <si>
    <t>Betons B20</t>
  </si>
  <si>
    <t>Siltumizolācijas plāksnes izbūvei gruntī, biezums 80mm, EPS150 vai analogs pēc nestspējas</t>
  </si>
  <si>
    <t>Pašteces kanalizācijas izpildmērījumi un dokumentācijas sgatavošana</t>
  </si>
  <si>
    <t>Aizsargčaula DN250</t>
  </si>
  <si>
    <t xml:space="preserve">Pārbaudīja: </t>
  </si>
  <si>
    <t>Sastādīja</t>
  </si>
  <si>
    <t>Tāmes izmaksas:</t>
  </si>
  <si>
    <t>Caurules PP De200 SN8</t>
  </si>
  <si>
    <t xml:space="preserve"> DN1000, h=1.5-2.0m, ar ķeta akas vāku 40t nestspēja, iebūve grants segumā </t>
  </si>
  <si>
    <t>Ūdensvads</t>
  </si>
  <si>
    <r>
      <t>m</t>
    </r>
    <r>
      <rPr>
        <i/>
        <vertAlign val="superscript"/>
        <sz val="10"/>
        <rFont val="Arial"/>
        <family val="2"/>
      </rPr>
      <t>3</t>
    </r>
  </si>
  <si>
    <r>
      <t>Zālāja sēklas  3 kg uz 100 m</t>
    </r>
    <r>
      <rPr>
        <vertAlign val="superscript"/>
        <sz val="12"/>
        <rFont val="Times New Roman"/>
        <family val="1"/>
      </rPr>
      <t>2</t>
    </r>
  </si>
  <si>
    <t>Elektrības kabeļi</t>
  </si>
  <si>
    <t>Cauruļvadu guldīšana gatavā tranšejā</t>
  </si>
  <si>
    <t>gb.</t>
  </si>
  <si>
    <t>Signāllenta</t>
  </si>
  <si>
    <t xml:space="preserve">Būvuzņēmējam jāievērtē darbu daudzumos minēto darbu veikšanai nepieciešamie materiāli un </t>
  </si>
  <si>
    <t xml:space="preserve">papildus darbi, kas nav minēti šajā sarakstā, bet bez kuriem nav iespējama galveno būvdarbu </t>
  </si>
  <si>
    <t>Visus nepieciešamos izstrādājumus un materiālus iebūvēt atbilstoši konkrētā ražotāja instrukcijām un noteikumiem.</t>
  </si>
  <si>
    <t>Objekta nosaukums</t>
  </si>
  <si>
    <t>Objekta adrese</t>
  </si>
  <si>
    <t>Pasūtītājs</t>
  </si>
  <si>
    <t>Nr.</t>
  </si>
  <si>
    <t>Darbu un izdevumu nosaukums</t>
  </si>
  <si>
    <t>Mērv.</t>
  </si>
  <si>
    <t>Daudz.</t>
  </si>
  <si>
    <t>Vienības izmaksa</t>
  </si>
  <si>
    <t>Kopējā izmaksa</t>
  </si>
  <si>
    <t>Laika norm. c/h</t>
  </si>
  <si>
    <t>Darbietilpība (c/h)</t>
  </si>
  <si>
    <t>kompl.</t>
  </si>
  <si>
    <t>m</t>
  </si>
  <si>
    <t>Piezīmes:</t>
  </si>
  <si>
    <t>Visi darbu veidi un materiālu daudzumi ir noteikti teorētiski.</t>
  </si>
  <si>
    <t>tehnoloģiski pareiza izpilde pēc spēkā esošajiem normatīviem.</t>
  </si>
  <si>
    <t>Konstrukciju elementu komplektācija atbilstoši izgatavotāju firmu instrukcijām.</t>
  </si>
  <si>
    <t>Saskaņojot ar pasūtītāju un projekta autoru iespējams izmantot citu firmu analogas kvalitātes materiālus.</t>
  </si>
  <si>
    <t>Gadījumos, kad nav skaidri saprotama kāda darba veida vai materiāla nepieciešamā informācija, obligāti sazināties ar projekta autoru.</t>
  </si>
  <si>
    <t>kg</t>
  </si>
  <si>
    <t>vieta</t>
  </si>
  <si>
    <t>m2</t>
  </si>
  <si>
    <t>m3</t>
  </si>
  <si>
    <t>m³</t>
  </si>
  <si>
    <t>Satiksmes organizācija būvdarbu laikā</t>
  </si>
  <si>
    <t>kompl</t>
  </si>
  <si>
    <t>vietas</t>
  </si>
  <si>
    <t>m²</t>
  </si>
  <si>
    <t xml:space="preserve">Betona seguma uzlaušana un un aizvešana (līdz 5km uz pasūtītāja atbērtni) </t>
  </si>
  <si>
    <t>Būvlaukuma mobilizācija saskaņā ar DOP sadaļu</t>
  </si>
  <si>
    <t>Žoga demontāža un atjaunošana pēc būvdarbiem</t>
  </si>
  <si>
    <t>1.001</t>
  </si>
  <si>
    <t>1.002</t>
  </si>
  <si>
    <t>1.003</t>
  </si>
  <si>
    <t>1.004</t>
  </si>
  <si>
    <t>1.005</t>
  </si>
  <si>
    <t>1.006</t>
  </si>
  <si>
    <t>1.007</t>
  </si>
  <si>
    <t>Gruntsūdens līmenis tranšejā līdz 0,5m</t>
  </si>
  <si>
    <t>T.p. 0,5-1,0m</t>
  </si>
  <si>
    <t>1.008</t>
  </si>
  <si>
    <t>1.009</t>
  </si>
  <si>
    <t>1.010</t>
  </si>
  <si>
    <t>1.011</t>
  </si>
  <si>
    <t>1.012</t>
  </si>
  <si>
    <t>Gāzesvads</t>
  </si>
  <si>
    <t>1.014</t>
  </si>
  <si>
    <t>1.015</t>
  </si>
  <si>
    <t>Šķeltā aizsargčaula OD110, L=3m</t>
  </si>
  <si>
    <t>1.022</t>
  </si>
  <si>
    <t>1.023</t>
  </si>
  <si>
    <t>1.024</t>
  </si>
  <si>
    <t>1.026</t>
  </si>
  <si>
    <t>1.013</t>
  </si>
  <si>
    <t>Šķembu izsijas slāņa h=5cm</t>
  </si>
  <si>
    <t>Šķembu maisījums fr.0-45mm slāņa h=15cm</t>
  </si>
  <si>
    <t>Smilts drenējošā slāņa atjaunošanai slāņa h=30cm</t>
  </si>
  <si>
    <t>Bruģa seguma un klātnes atjaunošana ar demontēto bruģi, 20% jauns materiāls</t>
  </si>
  <si>
    <r>
      <t>m</t>
    </r>
    <r>
      <rPr>
        <b/>
        <vertAlign val="superscript"/>
        <sz val="10"/>
        <rFont val="Arial"/>
        <family val="2"/>
      </rPr>
      <t>2</t>
    </r>
  </si>
  <si>
    <t>Šķembu maisījums fr.0-45mm slāņa h=20cm</t>
  </si>
  <si>
    <t xml:space="preserve">Grants seguma un klātnes atjaunošana </t>
  </si>
  <si>
    <t xml:space="preserve">Zaļās zonas seguma atjaunošana </t>
  </si>
  <si>
    <t xml:space="preserve">Asfalta seguma un klātnes atjaunošana </t>
  </si>
  <si>
    <t xml:space="preserve">Esošā šķembu seguma atjaunošana </t>
  </si>
  <si>
    <t>Kanalizācijas trases nospraušana</t>
  </si>
  <si>
    <t>Signāllentas ar metāla stiepli uzstādīšana</t>
  </si>
  <si>
    <t xml:space="preserve">Rūpnieciski ražota dzelsbetona groda aku ar akas pamatni, grodiem, blīvgumiju grodu savienojumu vietās, grodu pārseguma vāku, rūpnieciski ražotām kāpšļu ievietošanas vietām un kāpšļiem un vāku izbūve </t>
  </si>
  <si>
    <t>Grants, slāņa h=28cm</t>
  </si>
  <si>
    <t>Smilts drenējošā slāņa atjaunošanai, slāņa h=30cm</t>
  </si>
  <si>
    <t>Melnzeme, slāņa h=15cm</t>
  </si>
  <si>
    <t xml:space="preserve">Esošā betona seguma atjaunošana </t>
  </si>
  <si>
    <t>Monolīts betons B25 F50, slāņa h=10cm</t>
  </si>
  <si>
    <t>Šķembu maisījums fr.0-45mm, slāņa h=15cm</t>
  </si>
  <si>
    <t>Asfaltbetona AC-11 kārtas h=4cm atjaunošana (materiāls)</t>
  </si>
  <si>
    <t>Asfaltbetona  ACb-22 kārtas h=5cm atjaunošana (materiāls)</t>
  </si>
  <si>
    <t>Šķembu maisījuma h=20cm ieklāšana fr.0-45mm (darbs+materiāls)</t>
  </si>
  <si>
    <t>Smilts drenējošā slāņa h=30cm atjaunošana (darbas+materiāls)</t>
  </si>
  <si>
    <t>Esošā bruģakmens noņemšana, uzglabāšana atpakaļ atlikšanai</t>
  </si>
  <si>
    <t>Virszemes ūdeņu atsūknēšana no tranšejas</t>
  </si>
  <si>
    <t>st.</t>
  </si>
  <si>
    <t>Segumu atjaunošanas darbi</t>
  </si>
  <si>
    <t>Tranšejas un būvbedru aizbēršana, kā arī grunts noblīvēšanu pa slāņiem un ar to saistītie darbi</t>
  </si>
  <si>
    <t>Gruntsūdens līmeņa pazemināšana tranšejā</t>
  </si>
  <si>
    <t xml:space="preserve">Esošo kabeļu un komunikāciju aizsardzība uz būvniecības laiku, šķērsošanas vietā iemontējot apvalkcaurulē vai koka kārbā un iekarot pār tranšeju pārliktā sijā, tos šķērsojot, vietu atšurfējot ar rokām, vid.1,5m garumā x 2m dziļumā x 1,5m platumā </t>
  </si>
  <si>
    <t>Esošo segumu noņemšana</t>
  </si>
  <si>
    <t>Būvlaukuma sagatavošanas darbi</t>
  </si>
  <si>
    <t>Zemes darbi</t>
  </si>
  <si>
    <t>1.016</t>
  </si>
  <si>
    <t xml:space="preserve">Nederīgās, organiskās vielas saturošās grunts nomaiņa pret atbilstošas kvalitātes grunti, ieskaitot iekraušanu, atvešanu uz objektu </t>
  </si>
  <si>
    <t>Liekās izraktās grunts transportēšana uz atbērtni līdz 5km</t>
  </si>
  <si>
    <t>Tranšeju rakšana māju pievienojumiem, tranšejas platums 1,2m, h=līdz 1,5m</t>
  </si>
  <si>
    <t>Tranšeju rakšana māju pievienojumiem, tranšejas platums 1,2m, h=1,5-2,0m</t>
  </si>
  <si>
    <t>Demontāžas darbi</t>
  </si>
  <si>
    <t>1.017</t>
  </si>
  <si>
    <t>1.018</t>
  </si>
  <si>
    <t>1.019</t>
  </si>
  <si>
    <t>1.020</t>
  </si>
  <si>
    <t>1.021</t>
  </si>
  <si>
    <t>1.025</t>
  </si>
  <si>
    <t>1.027</t>
  </si>
  <si>
    <t>1.028</t>
  </si>
  <si>
    <t>1.029</t>
  </si>
  <si>
    <t>1.030</t>
  </si>
  <si>
    <t>1.031</t>
  </si>
  <si>
    <t>1.032</t>
  </si>
  <si>
    <t>1.033</t>
  </si>
  <si>
    <t>1.034</t>
  </si>
  <si>
    <t>1.035</t>
  </si>
  <si>
    <t>1.036</t>
  </si>
  <si>
    <t>1.037</t>
  </si>
  <si>
    <t>1.038</t>
  </si>
  <si>
    <t>1.039</t>
  </si>
  <si>
    <t>1.040</t>
  </si>
  <si>
    <t>1.041</t>
  </si>
  <si>
    <t>1.042</t>
  </si>
  <si>
    <t>1.043</t>
  </si>
  <si>
    <t>1.044</t>
  </si>
  <si>
    <t>1.045</t>
  </si>
  <si>
    <t>1.046</t>
  </si>
  <si>
    <t>1.047</t>
  </si>
  <si>
    <t>1.048</t>
  </si>
  <si>
    <t>1.049</t>
  </si>
  <si>
    <t>1.050</t>
  </si>
  <si>
    <t>1.051</t>
  </si>
  <si>
    <t>1.052</t>
  </si>
  <si>
    <t>1.053</t>
  </si>
  <si>
    <t>1.054</t>
  </si>
  <si>
    <t>1.055</t>
  </si>
  <si>
    <t>Cauruļvadu pārbaudes un izpilddokumentācijas sagatavošana</t>
  </si>
  <si>
    <r>
      <t>m</t>
    </r>
    <r>
      <rPr>
        <b/>
        <vertAlign val="superscript"/>
        <sz val="10"/>
        <rFont val="Arial"/>
        <family val="2"/>
      </rPr>
      <t>3</t>
    </r>
  </si>
  <si>
    <t>Tranšeju rakšana māju pievienojumiem, tranšejas platums 1,2m, h=2,0-2,5m</t>
  </si>
  <si>
    <t xml:space="preserve">Krūmu stādījumu pārstādīšana uz būvdarbu laiku un pēc būvdarbiem atjaunošana </t>
  </si>
  <si>
    <t>bruģakmens</t>
  </si>
  <si>
    <t xml:space="preserve">Krūmu stādījumu  pārstādīšana uz būvdarbu laiku un pēc būvdarbiem atjaunošana </t>
  </si>
  <si>
    <t>Auglīgā slāņa noņemšana h=15cm un transports uz atbērtni</t>
  </si>
  <si>
    <t>Bruģakmens</t>
  </si>
  <si>
    <r>
      <t>m</t>
    </r>
    <r>
      <rPr>
        <i/>
        <vertAlign val="superscript"/>
        <sz val="10"/>
        <rFont val="Arial"/>
        <family val="2"/>
      </rPr>
      <t>2</t>
    </r>
  </si>
  <si>
    <t>Asfaltbetona AC-11surf kārtas h=4cm atjaunošana (materiāls)</t>
  </si>
  <si>
    <t>Asfaltbetona  ACb-22 base/bin kārtas h=5cm atjaunošana (materiāls)</t>
  </si>
  <si>
    <t>Tranšeju un  būvbedru rakšana izmantojot aizsardzības mehānismus pret tranšejas sagrūšanu un malu nostiprināšana, ietverot grunts pagaidu uzglabāšanu (tranšeju izbūves dziļums norādīts no zemes virsmas)</t>
  </si>
  <si>
    <t xml:space="preserve">Asfaltbetona seguma demontāža h=9cm un aizvešana (līdz 5km uz pasūtītāja atbērtni) </t>
  </si>
  <si>
    <t xml:space="preserve">Atlikušās asfaltbetona segas  konstrukcijas h=0,5m noņemšana un aizvešana (līdz 5km uz pasūtītāja atbērtni) </t>
  </si>
  <si>
    <t>Lietus ūdens kanalizācijas ārējie tīkli KDS "Ziedonis", Katlakalns, Ķekavas pagasts, Ķekavas novads</t>
  </si>
  <si>
    <t>Tranšeju h= 1,5-2,0m  rakšana 1,2m platumā</t>
  </si>
  <si>
    <t>Tranšeju h=līdz1,5m rakšana 1,2m platumā</t>
  </si>
  <si>
    <t>Lietus kanalizācijas izbūve</t>
  </si>
  <si>
    <t>Lietus kanalizācijas cauruļu izbūve</t>
  </si>
  <si>
    <t>Trases nospraušana</t>
  </si>
  <si>
    <t>Caurules PEH De250 SN8</t>
  </si>
  <si>
    <t>Caurules PP De110 SN8</t>
  </si>
  <si>
    <t xml:space="preserve"> DN1000, h=1.0-1,5m, ar ķeta akas vāku 40t nestspēja, iebūve a/bet segumā </t>
  </si>
  <si>
    <t xml:space="preserve">DN1000, h=1.0-1,5m, ar ķeta akas vāku 40t nestspēju, iebūve zaļajā zonā </t>
  </si>
  <si>
    <t xml:space="preserve">Lietus kanalizācijas cauruļvada, t.sk.  dz/bet aku demontāža </t>
  </si>
  <si>
    <t>Lietus kanalizācijas cauruļvada izbūve</t>
  </si>
  <si>
    <t>DN400/250 ar ķeta vāku 40t nestspēja, h=1.0-1.5m, iebūve zaļajā zonā</t>
  </si>
  <si>
    <t>DN400/250 ar ķeta vāku 40t nestspēja, h=1.0-1.5m, iebūve grants segumā</t>
  </si>
  <si>
    <t>DN400/250 ar ķeta vāku 40t nestspēja, h=1.5-2.0m iebūve grants segumā</t>
  </si>
  <si>
    <t>DN400/250 ar ķeta vāku 40t nestspēja, h=1.0-1.5m, iebūve a/bet segumā</t>
  </si>
  <si>
    <t>DN400/250 ar ķeta vāku 40t nestspēja, h=1.5-2.0m iebūve a/bet segumā</t>
  </si>
  <si>
    <t xml:space="preserve"> DN1000, h=1,0-1,5m, ķeta akas vāku 40t nestspēju,  iebūve zaļajā zonā </t>
  </si>
  <si>
    <t xml:space="preserve"> Esošās lietus kanalizācijas cauruļvadu pievienošana </t>
  </si>
  <si>
    <t>Lietus kanalizācijas izpildmērījumi un dokumentācijas sgatavošana</t>
  </si>
  <si>
    <t>Smilts drenējošā slāņa h=30cm atjaunošana (darbs+materiāls)</t>
  </si>
  <si>
    <t xml:space="preserve">Rūpnieciski ražota dzelzsbetona groda aku ar akas pamatni, grodiem, blīvgumiju grodu savienojumu vietās, grodu pārseguma vāku, rūpnieciski ražotām kāpšļu ievietošanas vietām un kāpšļiem un vāku izbūve </t>
  </si>
  <si>
    <t>Diametru pāreja De 250/200</t>
  </si>
  <si>
    <t>Zemes īpašnieku rakstveida informēšana par ēku pievienojumu izbūvi</t>
  </si>
  <si>
    <t>Grunts atpakaļ aizbēršana blietējot, noblīvējot līdz 90% no max iespējāmā, tajā skaitā izmantojot atvesto grunti no atbērtnes</t>
  </si>
  <si>
    <t>Grunts</t>
  </si>
  <si>
    <t>Maģistrālo plastmasas skataku izbūve -individuāla pasūtījuma plastmasas skataka ar tekni, teleskopisko cauruli, rāmi un vāku</t>
  </si>
  <si>
    <t>Zālāja sēklas  3 kg uz 100 m2</t>
  </si>
  <si>
    <t>Saimnieciskā kanalizācija</t>
  </si>
  <si>
    <t>Caurules PP De200 SN9</t>
  </si>
  <si>
    <t>Pievadu ēkām izbūve (bezakas pieslēgums), veidgabali un materiāli saskaņā ar tipveida rasējumu LKT-14</t>
  </si>
  <si>
    <t>Maģistrālo plastmasas skataku izbūve -individuāla pasūtījuma plastmasas skataka ar tekni, teleskopisko cauruli, rāmi un vāku,</t>
  </si>
  <si>
    <r>
      <t xml:space="preserve">Maģistrālo plastmasas skataku izbūve -individuāla pasūtījuma plastmasas skataka ar tekni, teleskopisko cauruli, rāmi un vāku, </t>
    </r>
    <r>
      <rPr>
        <b/>
        <sz val="10"/>
        <rFont val="Arial"/>
        <family val="2"/>
      </rPr>
      <t>.</t>
    </r>
  </si>
  <si>
    <t xml:space="preserve">Maģistrālo plastmasas skataku izbūve -individuāla pasūtījuma plastmasas skataka ar tekni, teleskopisko cauruli, rāmi un vāku, </t>
  </si>
  <si>
    <t>DN400/250 ar ķeta vāku, 40t nestspēja, h=1.5-2.0m iebūve grants segumā</t>
  </si>
  <si>
    <t>DN400/250 ar ķeta vāku, 40t nestspēja, h=1,0-1,5m iebūve grants segumā</t>
  </si>
  <si>
    <t>Tranšeju h= 2,0-2,5m  rakšana 1,2m platumā</t>
  </si>
  <si>
    <t>Tranšeju h= 1,0-1,5m  rakšana 1,2m platumā</t>
  </si>
  <si>
    <t>LKT Vijolīšu iela</t>
  </si>
  <si>
    <t xml:space="preserve"> Lietus kanalizācijas skataku, kontrolaku un revīzijas aku izbūve</t>
  </si>
  <si>
    <t xml:space="preserve">CCTV inspekcija </t>
  </si>
  <si>
    <t>Tranšeju h=2,0-2,5m  rakšana 1,2m platumā</t>
  </si>
  <si>
    <t>Pievienojuma izbūve pie esošās lietus kanalizācijas akas , iesk. nepieciešamos materiālus</t>
  </si>
  <si>
    <t>Asfaltbetona  ACb-11 surf. kārtas h=4cm atjaunošana (materiāls)</t>
  </si>
  <si>
    <t>Šķembu maisījuma h=25cm ieklāšana fr.0-45mm (darbs+materiāls)</t>
  </si>
  <si>
    <t>DN400/250 ar ķeta vāku 40t nestspēja, h=2.0-2.5m iebūve grants segumā</t>
  </si>
  <si>
    <t>DN400/250 ar ķeta vāku 40t nestspēja, h=2.0-2.5m iebūve bruģa segumā</t>
  </si>
  <si>
    <t>Lietus kanalizācijas trases nospraušana</t>
  </si>
  <si>
    <t>Grunts atpakaļ aizbēršana blietējot, noblīvējot līdz 90% no max iespējamā, tajā skaitā izmantojot atvesto grunti no atbērtnes</t>
  </si>
  <si>
    <t>KDS "Ziedonis", Katlakalns, Ķekavas pagasts, Ķekavas novads</t>
  </si>
  <si>
    <r>
      <t>PP t-gabals De250/110 SN8, PP līkums De110 45</t>
    </r>
    <r>
      <rPr>
        <b/>
        <sz val="10"/>
        <rFont val="Times New Roman"/>
        <family val="1"/>
      </rPr>
      <t xml:space="preserve">° </t>
    </r>
    <r>
      <rPr>
        <i/>
        <sz val="10"/>
        <rFont val="Arial"/>
        <family val="2"/>
      </rPr>
      <t xml:space="preserve">SN8, PP revīzijas aka De200, H=1,5-2,0m, ieskaitot ķeta vāku (nestspēja 40t), PP noslēgtapa De110. </t>
    </r>
  </si>
  <si>
    <t>LKT-1; Delfīniju iela</t>
  </si>
  <si>
    <t>LKT-2; Krokusu iela</t>
  </si>
  <si>
    <t>2.001</t>
  </si>
  <si>
    <t>2.002</t>
  </si>
  <si>
    <t>2.003</t>
  </si>
  <si>
    <t>2.004</t>
  </si>
  <si>
    <t>2.005</t>
  </si>
  <si>
    <t>2.006</t>
  </si>
  <si>
    <t>2.007</t>
  </si>
  <si>
    <t>2.008</t>
  </si>
  <si>
    <t>2.009</t>
  </si>
  <si>
    <t>2.010</t>
  </si>
  <si>
    <t>2.011</t>
  </si>
  <si>
    <t>2.012</t>
  </si>
  <si>
    <t>2.013</t>
  </si>
  <si>
    <t>2.014</t>
  </si>
  <si>
    <t>2.015</t>
  </si>
  <si>
    <t>2.016</t>
  </si>
  <si>
    <t>2.017</t>
  </si>
  <si>
    <t>2.018</t>
  </si>
  <si>
    <t>2.019</t>
  </si>
  <si>
    <t>2.020</t>
  </si>
  <si>
    <t>2.021</t>
  </si>
  <si>
    <t>2.022</t>
  </si>
  <si>
    <t>2.023</t>
  </si>
  <si>
    <t>2.024</t>
  </si>
  <si>
    <t>2.025</t>
  </si>
  <si>
    <t>2.026</t>
  </si>
  <si>
    <t>2.027</t>
  </si>
  <si>
    <t>2.028</t>
  </si>
  <si>
    <t>2.029</t>
  </si>
  <si>
    <t>2.030</t>
  </si>
  <si>
    <t>2.031</t>
  </si>
  <si>
    <t>2.032</t>
  </si>
  <si>
    <t>2.033</t>
  </si>
  <si>
    <t>2.034</t>
  </si>
  <si>
    <t>2.035</t>
  </si>
  <si>
    <t>2.036</t>
  </si>
  <si>
    <t>2.037</t>
  </si>
  <si>
    <t>2.038</t>
  </si>
  <si>
    <t>2.039</t>
  </si>
  <si>
    <t>2.040</t>
  </si>
  <si>
    <t>2.041</t>
  </si>
  <si>
    <t>2.042</t>
  </si>
  <si>
    <t>2.043</t>
  </si>
  <si>
    <t>2.044</t>
  </si>
  <si>
    <t>2.045</t>
  </si>
  <si>
    <t>2.046</t>
  </si>
  <si>
    <t>2.047</t>
  </si>
  <si>
    <t>2.048</t>
  </si>
  <si>
    <t>2.049</t>
  </si>
  <si>
    <t>2.050</t>
  </si>
  <si>
    <t>2.051</t>
  </si>
  <si>
    <t>2.052</t>
  </si>
  <si>
    <t>2.053</t>
  </si>
  <si>
    <t>2.054</t>
  </si>
  <si>
    <t>2.055</t>
  </si>
  <si>
    <t>2.056</t>
  </si>
  <si>
    <t>2.057</t>
  </si>
  <si>
    <t>2.058</t>
  </si>
  <si>
    <t>2.059</t>
  </si>
  <si>
    <t>2.060</t>
  </si>
  <si>
    <t>2.061</t>
  </si>
  <si>
    <t>2.062</t>
  </si>
  <si>
    <t>2.063</t>
  </si>
  <si>
    <t>2.064</t>
  </si>
  <si>
    <t>Tranšeju h=līdz1,5m  rakšana 1,2m platumā</t>
  </si>
  <si>
    <t>Tranšeju h= 1,5-2,0m rakšana 1,2m platumā</t>
  </si>
  <si>
    <t>LKT-3; Cīruļu iela</t>
  </si>
  <si>
    <t>3.001</t>
  </si>
  <si>
    <t>3.002</t>
  </si>
  <si>
    <t>3.003</t>
  </si>
  <si>
    <t>3.004</t>
  </si>
  <si>
    <t>3.005</t>
  </si>
  <si>
    <t>3.006</t>
  </si>
  <si>
    <t>3.007</t>
  </si>
  <si>
    <t>3.008</t>
  </si>
  <si>
    <t>3.009</t>
  </si>
  <si>
    <t>3.010</t>
  </si>
  <si>
    <t>3.011</t>
  </si>
  <si>
    <t>3.012</t>
  </si>
  <si>
    <t>3.013</t>
  </si>
  <si>
    <t>3.014</t>
  </si>
  <si>
    <t>3.015</t>
  </si>
  <si>
    <t>3.016</t>
  </si>
  <si>
    <t>3.017</t>
  </si>
  <si>
    <t>3.018</t>
  </si>
  <si>
    <t>3.019</t>
  </si>
  <si>
    <t>3.020</t>
  </si>
  <si>
    <t>3.021</t>
  </si>
  <si>
    <t>3.022</t>
  </si>
  <si>
    <t>3.023</t>
  </si>
  <si>
    <t>3.024</t>
  </si>
  <si>
    <t>3.025</t>
  </si>
  <si>
    <t>3.026</t>
  </si>
  <si>
    <t>3.027</t>
  </si>
  <si>
    <t>3.028</t>
  </si>
  <si>
    <t>3.029</t>
  </si>
  <si>
    <t>3.030</t>
  </si>
  <si>
    <t>3.031</t>
  </si>
  <si>
    <t>3.032</t>
  </si>
  <si>
    <t>3.033</t>
  </si>
  <si>
    <t>3.034</t>
  </si>
  <si>
    <t>3.035</t>
  </si>
  <si>
    <t>3.036</t>
  </si>
  <si>
    <t>3.037</t>
  </si>
  <si>
    <t>3.038</t>
  </si>
  <si>
    <t>3.039</t>
  </si>
  <si>
    <t>3.040</t>
  </si>
  <si>
    <t>3.041</t>
  </si>
  <si>
    <t>3.042</t>
  </si>
  <si>
    <t>3.043</t>
  </si>
  <si>
    <t>3.044</t>
  </si>
  <si>
    <t>3.045</t>
  </si>
  <si>
    <t>3.046</t>
  </si>
  <si>
    <t>3.047</t>
  </si>
  <si>
    <t>3.048</t>
  </si>
  <si>
    <t>3.049</t>
  </si>
  <si>
    <t>3.050</t>
  </si>
  <si>
    <t>3.051</t>
  </si>
  <si>
    <t>3.052</t>
  </si>
  <si>
    <t>3.053</t>
  </si>
  <si>
    <t>3.054</t>
  </si>
  <si>
    <t>3.055</t>
  </si>
  <si>
    <t>3.056</t>
  </si>
  <si>
    <t>3.057</t>
  </si>
  <si>
    <t>3.058</t>
  </si>
  <si>
    <t>3.059</t>
  </si>
  <si>
    <t>3.060</t>
  </si>
  <si>
    <t>3.061</t>
  </si>
  <si>
    <r>
      <t>t.sk</t>
    </r>
    <r>
      <rPr>
        <b/>
        <sz val="10"/>
        <rFont val="Arial"/>
        <family val="2"/>
      </rPr>
      <t>. Tranšeju rakšana dolomītā 1,2m platumā, dolomīta slāņa biezums līdz 0,5m, ieskaitot tranšeju malu stiprināšanu</t>
    </r>
  </si>
  <si>
    <r>
      <t>t.sk</t>
    </r>
    <r>
      <rPr>
        <b/>
        <sz val="10"/>
        <rFont val="Arial"/>
        <family val="2"/>
      </rPr>
      <t>. Tranšeju rakšana dolomītā 1,2m platumā, dolomīta slāņa biezums 0,5-1,0m, ieskaitot tranšeju malu stiprināšanu</t>
    </r>
  </si>
  <si>
    <t>LKT-04; Prīmulu iela</t>
  </si>
  <si>
    <t>4.001</t>
  </si>
  <si>
    <t>4.002</t>
  </si>
  <si>
    <t>4.003</t>
  </si>
  <si>
    <t>4.004</t>
  </si>
  <si>
    <t>4.005</t>
  </si>
  <si>
    <t>4.006</t>
  </si>
  <si>
    <t>4.007</t>
  </si>
  <si>
    <t>4.008</t>
  </si>
  <si>
    <t>4.009</t>
  </si>
  <si>
    <t>4.010</t>
  </si>
  <si>
    <t>4.011</t>
  </si>
  <si>
    <t>4.012</t>
  </si>
  <si>
    <t>4.013</t>
  </si>
  <si>
    <t>4.014</t>
  </si>
  <si>
    <t>4.015</t>
  </si>
  <si>
    <t>4.016</t>
  </si>
  <si>
    <t>4.017</t>
  </si>
  <si>
    <t>4.018</t>
  </si>
  <si>
    <t>4.019</t>
  </si>
  <si>
    <t>4.020</t>
  </si>
  <si>
    <t>4.021</t>
  </si>
  <si>
    <t>4.022</t>
  </si>
  <si>
    <t>4.023</t>
  </si>
  <si>
    <t>4.024</t>
  </si>
  <si>
    <t>4.025</t>
  </si>
  <si>
    <t>4.026</t>
  </si>
  <si>
    <t>4.027</t>
  </si>
  <si>
    <t>4.028</t>
  </si>
  <si>
    <t>4.029</t>
  </si>
  <si>
    <t>4.030</t>
  </si>
  <si>
    <t>4.031</t>
  </si>
  <si>
    <t>4.032</t>
  </si>
  <si>
    <t>4.033</t>
  </si>
  <si>
    <t>4.034</t>
  </si>
  <si>
    <t>4.035</t>
  </si>
  <si>
    <t>4.037</t>
  </si>
  <si>
    <t>4.038</t>
  </si>
  <si>
    <t>4.039</t>
  </si>
  <si>
    <t>4.040</t>
  </si>
  <si>
    <t>4.041</t>
  </si>
  <si>
    <t>4.043</t>
  </si>
  <si>
    <t>4.044</t>
  </si>
  <si>
    <t>4.045</t>
  </si>
  <si>
    <t>4.046</t>
  </si>
  <si>
    <t>4.047</t>
  </si>
  <si>
    <t>4.048</t>
  </si>
  <si>
    <t>4.049</t>
  </si>
  <si>
    <t>4.050</t>
  </si>
  <si>
    <t>4.051</t>
  </si>
  <si>
    <t>5.001</t>
  </si>
  <si>
    <t>5.002</t>
  </si>
  <si>
    <t>5.003</t>
  </si>
  <si>
    <t>5.004</t>
  </si>
  <si>
    <t>5.005</t>
  </si>
  <si>
    <t>5.006</t>
  </si>
  <si>
    <t>5.007</t>
  </si>
  <si>
    <t>5.008</t>
  </si>
  <si>
    <t>5.009</t>
  </si>
  <si>
    <t>5.010</t>
  </si>
  <si>
    <t>5.011</t>
  </si>
  <si>
    <t>5.012</t>
  </si>
  <si>
    <t>5.013</t>
  </si>
  <si>
    <t>5.014</t>
  </si>
  <si>
    <t>5.015</t>
  </si>
  <si>
    <t>5.016</t>
  </si>
  <si>
    <t>5.017</t>
  </si>
  <si>
    <t>5.018</t>
  </si>
  <si>
    <t>5.019</t>
  </si>
  <si>
    <t>5.020</t>
  </si>
  <si>
    <t>5.021</t>
  </si>
  <si>
    <t>5.022</t>
  </si>
  <si>
    <t>5.023</t>
  </si>
  <si>
    <t>5.024</t>
  </si>
  <si>
    <t>5.025</t>
  </si>
  <si>
    <t>5.026</t>
  </si>
  <si>
    <t>5.027</t>
  </si>
  <si>
    <t>5.028</t>
  </si>
  <si>
    <t>5.029</t>
  </si>
  <si>
    <t>5.030</t>
  </si>
  <si>
    <t>5.031</t>
  </si>
  <si>
    <t>5.032</t>
  </si>
  <si>
    <t>5.033</t>
  </si>
  <si>
    <t>5.034</t>
  </si>
  <si>
    <t>5.035</t>
  </si>
  <si>
    <t>5.036</t>
  </si>
  <si>
    <t>5.037</t>
  </si>
  <si>
    <t>5.038</t>
  </si>
  <si>
    <t>5.039</t>
  </si>
  <si>
    <t>5.040</t>
  </si>
  <si>
    <t>5.041</t>
  </si>
  <si>
    <t>5.042</t>
  </si>
  <si>
    <t>5.043</t>
  </si>
  <si>
    <t>5.044</t>
  </si>
  <si>
    <t>5.045</t>
  </si>
  <si>
    <t>5.046</t>
  </si>
  <si>
    <t>6.001</t>
  </si>
  <si>
    <t>6.002</t>
  </si>
  <si>
    <t>6.003</t>
  </si>
  <si>
    <t>6.004</t>
  </si>
  <si>
    <t>6.005</t>
  </si>
  <si>
    <t>6.006</t>
  </si>
  <si>
    <t>6.007</t>
  </si>
  <si>
    <t>6.008</t>
  </si>
  <si>
    <t>6.009</t>
  </si>
  <si>
    <t>6.010</t>
  </si>
  <si>
    <t>6.011</t>
  </si>
  <si>
    <t>6.012</t>
  </si>
  <si>
    <t>6.013</t>
  </si>
  <si>
    <t>6.014</t>
  </si>
  <si>
    <t>6.015</t>
  </si>
  <si>
    <t>6.016</t>
  </si>
  <si>
    <t>6.017</t>
  </si>
  <si>
    <t>6.018</t>
  </si>
  <si>
    <t>6.019</t>
  </si>
  <si>
    <t>6.020</t>
  </si>
  <si>
    <t>6.021</t>
  </si>
  <si>
    <t>6.022</t>
  </si>
  <si>
    <t>6.023</t>
  </si>
  <si>
    <t>6.024</t>
  </si>
  <si>
    <t>6.025</t>
  </si>
  <si>
    <t>6.026</t>
  </si>
  <si>
    <t>6.027</t>
  </si>
  <si>
    <t>6.028</t>
  </si>
  <si>
    <t>6.029</t>
  </si>
  <si>
    <t>6.030</t>
  </si>
  <si>
    <t>6.031</t>
  </si>
  <si>
    <t>6.032</t>
  </si>
  <si>
    <t>6.033</t>
  </si>
  <si>
    <t>6.034</t>
  </si>
  <si>
    <t>6.035</t>
  </si>
  <si>
    <t>6.036</t>
  </si>
  <si>
    <t>6.037</t>
  </si>
  <si>
    <t>6.038</t>
  </si>
  <si>
    <t>6.039</t>
  </si>
  <si>
    <t>6.040</t>
  </si>
  <si>
    <t>6.041</t>
  </si>
  <si>
    <t>6.042</t>
  </si>
  <si>
    <t>6.043</t>
  </si>
  <si>
    <t>6.044</t>
  </si>
  <si>
    <t>6.045</t>
  </si>
  <si>
    <t>6.046</t>
  </si>
  <si>
    <t>6.047</t>
  </si>
  <si>
    <t>6.048</t>
  </si>
  <si>
    <t>6.049</t>
  </si>
  <si>
    <t>LKT-6; Lefkoju iela</t>
  </si>
  <si>
    <t>7.001</t>
  </si>
  <si>
    <t>7.002</t>
  </si>
  <si>
    <t>7.003</t>
  </si>
  <si>
    <t>7.004</t>
  </si>
  <si>
    <t>7.005</t>
  </si>
  <si>
    <t>7.006</t>
  </si>
  <si>
    <t>7.007</t>
  </si>
  <si>
    <t>7.008</t>
  </si>
  <si>
    <t>7.009</t>
  </si>
  <si>
    <t>7.010</t>
  </si>
  <si>
    <t>7.011</t>
  </si>
  <si>
    <t>7.012</t>
  </si>
  <si>
    <t>7.013</t>
  </si>
  <si>
    <t>7.014</t>
  </si>
  <si>
    <t>7.015</t>
  </si>
  <si>
    <t>7.016</t>
  </si>
  <si>
    <t>7.017</t>
  </si>
  <si>
    <t>7.018</t>
  </si>
  <si>
    <t>7.019</t>
  </si>
  <si>
    <t>7.020</t>
  </si>
  <si>
    <t>7.021</t>
  </si>
  <si>
    <t>7.022</t>
  </si>
  <si>
    <t>7.023</t>
  </si>
  <si>
    <t>7.024</t>
  </si>
  <si>
    <t>7.025</t>
  </si>
  <si>
    <t>7.026</t>
  </si>
  <si>
    <t>7.027</t>
  </si>
  <si>
    <t>7.028</t>
  </si>
  <si>
    <t>7.029</t>
  </si>
  <si>
    <t>7.030</t>
  </si>
  <si>
    <t>7.031</t>
  </si>
  <si>
    <t>7.032</t>
  </si>
  <si>
    <t>7.033</t>
  </si>
  <si>
    <t>7.034</t>
  </si>
  <si>
    <t>7.035</t>
  </si>
  <si>
    <t>7.036</t>
  </si>
  <si>
    <t>7.037</t>
  </si>
  <si>
    <t>7.038</t>
  </si>
  <si>
    <t>7.039</t>
  </si>
  <si>
    <t>7.040</t>
  </si>
  <si>
    <t>7.041</t>
  </si>
  <si>
    <t>7.042</t>
  </si>
  <si>
    <t>7.043</t>
  </si>
  <si>
    <t>7.044</t>
  </si>
  <si>
    <t>7.045</t>
  </si>
  <si>
    <t>7.046</t>
  </si>
  <si>
    <t>7.047</t>
  </si>
  <si>
    <t>7.048</t>
  </si>
  <si>
    <t>7.049</t>
  </si>
  <si>
    <t>7.050</t>
  </si>
  <si>
    <t>7.051</t>
  </si>
  <si>
    <t>7.052</t>
  </si>
  <si>
    <t>7.053</t>
  </si>
  <si>
    <t>7.054</t>
  </si>
  <si>
    <t>7.055</t>
  </si>
  <si>
    <t>7.056</t>
  </si>
  <si>
    <t>7.057</t>
  </si>
  <si>
    <t>LKT-7; Dāliju iela</t>
  </si>
  <si>
    <t>LKT-8; Liliju iela</t>
  </si>
  <si>
    <t>8.001</t>
  </si>
  <si>
    <t>8.002</t>
  </si>
  <si>
    <t>8.003</t>
  </si>
  <si>
    <t>8.004</t>
  </si>
  <si>
    <t>8.005</t>
  </si>
  <si>
    <t>8.006</t>
  </si>
  <si>
    <t>8.007</t>
  </si>
  <si>
    <t>8.008</t>
  </si>
  <si>
    <t>8.009</t>
  </si>
  <si>
    <t>8.010</t>
  </si>
  <si>
    <t>8.011</t>
  </si>
  <si>
    <t>8.012</t>
  </si>
  <si>
    <t>8.013</t>
  </si>
  <si>
    <t>8.014</t>
  </si>
  <si>
    <t>8.015</t>
  </si>
  <si>
    <t>8.016</t>
  </si>
  <si>
    <t>8.017</t>
  </si>
  <si>
    <t>8.018</t>
  </si>
  <si>
    <t>8.019</t>
  </si>
  <si>
    <t>8.020</t>
  </si>
  <si>
    <t>8.021</t>
  </si>
  <si>
    <t>8.022</t>
  </si>
  <si>
    <t>8.023</t>
  </si>
  <si>
    <t>8.024</t>
  </si>
  <si>
    <t>8.025</t>
  </si>
  <si>
    <t>8.026</t>
  </si>
  <si>
    <t>8.027</t>
  </si>
  <si>
    <t>8.028</t>
  </si>
  <si>
    <t>8.029</t>
  </si>
  <si>
    <t>8.030</t>
  </si>
  <si>
    <t>8.031</t>
  </si>
  <si>
    <t>8.032</t>
  </si>
  <si>
    <t>8.033</t>
  </si>
  <si>
    <t>8.034</t>
  </si>
  <si>
    <t>8.035</t>
  </si>
  <si>
    <t>8.036</t>
  </si>
  <si>
    <t>8.037</t>
  </si>
  <si>
    <t>8.038</t>
  </si>
  <si>
    <t>8.039</t>
  </si>
  <si>
    <t>8.040</t>
  </si>
  <si>
    <t>8.041</t>
  </si>
  <si>
    <t>8.042</t>
  </si>
  <si>
    <t>8.043</t>
  </si>
  <si>
    <t>8.044</t>
  </si>
  <si>
    <t>8.045</t>
  </si>
  <si>
    <t>8.046</t>
  </si>
  <si>
    <t>8.047</t>
  </si>
  <si>
    <t>8.048</t>
  </si>
  <si>
    <t>8.049</t>
  </si>
  <si>
    <t>9.001</t>
  </si>
  <si>
    <t>9.002</t>
  </si>
  <si>
    <t>9.003</t>
  </si>
  <si>
    <t>9.004</t>
  </si>
  <si>
    <t>9.005</t>
  </si>
  <si>
    <t>9.006</t>
  </si>
  <si>
    <t>9.007</t>
  </si>
  <si>
    <t>9.008</t>
  </si>
  <si>
    <t>9.009</t>
  </si>
  <si>
    <t>9.010</t>
  </si>
  <si>
    <t>9.011</t>
  </si>
  <si>
    <t>9.012</t>
  </si>
  <si>
    <t>9.013</t>
  </si>
  <si>
    <t>9.014</t>
  </si>
  <si>
    <t>9.015</t>
  </si>
  <si>
    <t>9.016</t>
  </si>
  <si>
    <t>9.017</t>
  </si>
  <si>
    <t>9.018</t>
  </si>
  <si>
    <t>9.019</t>
  </si>
  <si>
    <t>9.020</t>
  </si>
  <si>
    <t>9.021</t>
  </si>
  <si>
    <t>9.022</t>
  </si>
  <si>
    <t>9.023</t>
  </si>
  <si>
    <t>9.024</t>
  </si>
  <si>
    <t>9.025</t>
  </si>
  <si>
    <t>9.026</t>
  </si>
  <si>
    <t>9.027</t>
  </si>
  <si>
    <t>9.028</t>
  </si>
  <si>
    <t>9.029</t>
  </si>
  <si>
    <t>9.030</t>
  </si>
  <si>
    <t>9.031</t>
  </si>
  <si>
    <t>9.032</t>
  </si>
  <si>
    <t>9.033</t>
  </si>
  <si>
    <t>9.034</t>
  </si>
  <si>
    <t>9.035</t>
  </si>
  <si>
    <t>9.036</t>
  </si>
  <si>
    <t>9.037</t>
  </si>
  <si>
    <t>9.038</t>
  </si>
  <si>
    <t>9.039</t>
  </si>
  <si>
    <t>9.040</t>
  </si>
  <si>
    <t>9.041</t>
  </si>
  <si>
    <t>9.042</t>
  </si>
  <si>
    <t>9.043</t>
  </si>
  <si>
    <t>9.044</t>
  </si>
  <si>
    <t>9.045</t>
  </si>
  <si>
    <t>9.046</t>
  </si>
  <si>
    <t>LKT-9; Flokšu iela</t>
  </si>
  <si>
    <t>Kopsavilkuma aprēķini par darbu vai konstruktīvo elementu veidiem</t>
  </si>
  <si>
    <t>Kopējā darbietilpība, c/h</t>
  </si>
  <si>
    <t xml:space="preserve">Tāme sastādīta: </t>
  </si>
  <si>
    <t>Nr. P.k.</t>
  </si>
  <si>
    <t>Kods, tāmes Nr.</t>
  </si>
  <si>
    <t xml:space="preserve">Darba veids vai konstruktīvā elementa nosaukums </t>
  </si>
  <si>
    <t>Tai skaitā</t>
  </si>
  <si>
    <t>Kopā:</t>
  </si>
  <si>
    <t>Virsizdevumi</t>
  </si>
  <si>
    <t>t.sk. Darba aizsardzība</t>
  </si>
  <si>
    <t>Peļņa</t>
  </si>
  <si>
    <t>Darba devēja sociālais nodoklis (iekļauts darba izmaksās)</t>
  </si>
  <si>
    <t>Pavisam kopā</t>
  </si>
  <si>
    <t xml:space="preserve">Sastādīja: </t>
  </si>
  <si>
    <r>
      <t>100m</t>
    </r>
    <r>
      <rPr>
        <b/>
        <vertAlign val="superscript"/>
        <sz val="10"/>
        <rFont val="Arial"/>
        <family val="2"/>
      </rPr>
      <t>2</t>
    </r>
  </si>
  <si>
    <t>Materiālu apmaiņas un būvgružu transporta izdevumi</t>
  </si>
  <si>
    <t>Tāme sastādīta:</t>
  </si>
  <si>
    <t>100m²</t>
  </si>
  <si>
    <r>
      <t xml:space="preserve">DN400/250 ar ķeta vāku, 40t nestspēja, </t>
    </r>
    <r>
      <rPr>
        <b/>
        <i/>
        <sz val="10"/>
        <rFont val="Arial"/>
        <family val="2"/>
      </rPr>
      <t>h=1,0-1,5m</t>
    </r>
    <r>
      <rPr>
        <i/>
        <sz val="10"/>
        <rFont val="Arial"/>
        <family val="2"/>
      </rPr>
      <t xml:space="preserve"> iebūve grants segumā</t>
    </r>
  </si>
  <si>
    <r>
      <t xml:space="preserve">DN400/250 ar ķeta vāku, 40t nestspēja, </t>
    </r>
    <r>
      <rPr>
        <b/>
        <i/>
        <sz val="10"/>
        <rFont val="Arial"/>
        <family val="2"/>
      </rPr>
      <t>h=1.5-2.0m</t>
    </r>
    <r>
      <rPr>
        <i/>
        <sz val="10"/>
        <rFont val="Arial"/>
        <family val="2"/>
      </rPr>
      <t xml:space="preserve"> iebūve grants segumā</t>
    </r>
  </si>
  <si>
    <r>
      <t xml:space="preserve">DN400/250 ar ķeta vāku, 40t nestspēja, </t>
    </r>
    <r>
      <rPr>
        <b/>
        <i/>
        <sz val="10"/>
        <rFont val="Arial"/>
        <family val="2"/>
      </rPr>
      <t>h=2,0-2,5m</t>
    </r>
    <r>
      <rPr>
        <i/>
        <sz val="10"/>
        <rFont val="Arial"/>
        <family val="2"/>
      </rPr>
      <t xml:space="preserve"> iebūve grants segumā</t>
    </r>
  </si>
  <si>
    <r>
      <t xml:space="preserve">DN400/200, </t>
    </r>
    <r>
      <rPr>
        <b/>
        <i/>
        <sz val="10"/>
        <rFont val="Arial"/>
        <family val="2"/>
      </rPr>
      <t>h=2,0-2,5m</t>
    </r>
    <r>
      <rPr>
        <i/>
        <sz val="10"/>
        <rFont val="Arial"/>
        <family val="2"/>
      </rPr>
      <t xml:space="preserve">, ar ķeta vāku, 40t nestspēja, </t>
    </r>
    <r>
      <rPr>
        <b/>
        <i/>
        <sz val="10"/>
        <rFont val="Arial"/>
        <family val="2"/>
      </rPr>
      <t>ar pārkritienu</t>
    </r>
    <r>
      <rPr>
        <i/>
        <sz val="10"/>
        <rFont val="Arial"/>
        <family val="2"/>
      </rPr>
      <t xml:space="preserve"> 0,78m, iebūve grants segumā</t>
    </r>
  </si>
  <si>
    <r>
      <t xml:space="preserve"> </t>
    </r>
    <r>
      <rPr>
        <b/>
        <i/>
        <sz val="10"/>
        <rFont val="Arial"/>
        <family val="2"/>
      </rPr>
      <t>DN1000, h=2,0-2,5m</t>
    </r>
    <r>
      <rPr>
        <i/>
        <sz val="10"/>
        <rFont val="Arial"/>
        <family val="2"/>
      </rPr>
      <t xml:space="preserve">, ar ķeta akas vāku, 40t nestspēja, iebūve grants segumā </t>
    </r>
  </si>
  <si>
    <t>Gūliju- plastmasas individuāla pasūtījuma  ar teleskopisko cauruli, rāmi un ķeta vāku nosēddaļa 50cm, skat. ras. LKT-17 izbūve</t>
  </si>
  <si>
    <r>
      <t>Gūlija DN400/200 (h=1,5-2)ķeta kupolveida reste (pie ūdens H-10cm caurplūde</t>
    </r>
    <r>
      <rPr>
        <b/>
        <sz val="10"/>
        <rFont val="Calibri"/>
        <family val="2"/>
      </rPr>
      <t>≥</t>
    </r>
    <r>
      <rPr>
        <sz val="10"/>
        <rFont val="Arial"/>
        <family val="2"/>
      </rPr>
      <t>15l/sec.) iebūve zaļajā zonā</t>
    </r>
  </si>
  <si>
    <t>kpl.</t>
  </si>
  <si>
    <t>Siltumizolācijas plākšņu montāža gruntī virs cauruļvada 1m platumā</t>
  </si>
  <si>
    <t>Esošās LK cauruļvada pārvienojuma izbūve pie projektējamajiem tīkliem (esošā De 110 proj. Dz/b akā t.sk. aizsargčaulas) iesk. materiālus</t>
  </si>
  <si>
    <t>***DN400/250 ar ķeta vāku 40t nestspēja, h=2.0-2.5m, iebūve šķembu segumā</t>
  </si>
  <si>
    <t>*** Akas vāks iebūvējams analogi grants seguma risinājumam</t>
  </si>
  <si>
    <r>
      <t xml:space="preserve">Darba alga </t>
    </r>
    <r>
      <rPr>
        <sz val="10"/>
        <rFont val="Calibri"/>
        <family val="2"/>
      </rPr>
      <t>€</t>
    </r>
    <r>
      <rPr>
        <sz val="10"/>
        <rFont val="Arial"/>
        <family val="2"/>
      </rPr>
      <t>/h</t>
    </r>
  </si>
  <si>
    <r>
      <t>Darba samaksas likme (</t>
    </r>
    <r>
      <rPr>
        <sz val="10"/>
        <rFont val="Calibri"/>
        <family val="2"/>
      </rPr>
      <t>€</t>
    </r>
    <r>
      <rPr>
        <sz val="10"/>
        <rFont val="Arial"/>
        <family val="2"/>
      </rPr>
      <t>/h)</t>
    </r>
  </si>
  <si>
    <t>Materiāli     €</t>
  </si>
  <si>
    <t>Mehānismi €</t>
  </si>
  <si>
    <t>Kopā           €</t>
  </si>
  <si>
    <t>Darba alga €</t>
  </si>
  <si>
    <t>Materiāli        €</t>
  </si>
  <si>
    <t>Kopā        €</t>
  </si>
  <si>
    <t>€</t>
  </si>
  <si>
    <t>2014.gada janvārī</t>
  </si>
  <si>
    <t>Tranšejas pamatnes (h=10cm smilts) sagatavošana blietējot</t>
  </si>
  <si>
    <r>
      <t xml:space="preserve">Drenāžas grants fr.2-8mm, smilts piemaisījumi </t>
    </r>
    <r>
      <rPr>
        <sz val="10"/>
        <rFont val="Calibri"/>
        <family val="2"/>
      </rPr>
      <t>≤</t>
    </r>
    <r>
      <rPr>
        <i/>
        <sz val="10"/>
        <rFont val="Arial"/>
        <family val="2"/>
      </rPr>
      <t xml:space="preserve">5% fr. </t>
    </r>
    <r>
      <rPr>
        <sz val="10"/>
        <rFont val="Calibri"/>
        <family val="2"/>
      </rPr>
      <t>≥</t>
    </r>
    <r>
      <rPr>
        <i/>
        <sz val="10"/>
        <rFont val="Arial"/>
        <family val="2"/>
      </rPr>
      <t>0,5mm</t>
    </r>
  </si>
  <si>
    <t>Drenāžas grants fr.2-8mm, smilts piemaisījumi ≤5% fr. ≥0,5mm</t>
  </si>
  <si>
    <t>Cauruļu apbēršana ar drenāžas granti blietējot b=20cm</t>
  </si>
  <si>
    <r>
      <t>Ģeotekstils cauruļvadu aptīšanai Svars</t>
    </r>
    <r>
      <rPr>
        <sz val="10"/>
        <rFont val="Calibri"/>
        <family val="2"/>
      </rPr>
      <t>≥90g/m2; max.stiepe≥40%; Plūsmas ātrums (H=10cm) ≥175 l/(m2.s)</t>
    </r>
  </si>
  <si>
    <t xml:space="preserve">Pārkritiena mezgls - 2 gb. līkumi PP 45° De200,  trejgabals PP 45° De200, caurule PP De200, teleskopiskā caurule L-200 De160 ar 40t čuguna rāmi, vāku un blīvelementiem De160/200 </t>
  </si>
  <si>
    <t>LT-01</t>
  </si>
  <si>
    <t>LT-02</t>
  </si>
  <si>
    <t>LT-03</t>
  </si>
  <si>
    <t>LT-04</t>
  </si>
  <si>
    <t>LT-05</t>
  </si>
  <si>
    <t>LT-06</t>
  </si>
  <si>
    <t>LT-07</t>
  </si>
  <si>
    <t>LT-08</t>
  </si>
  <si>
    <t>LT-09</t>
  </si>
  <si>
    <t>Par kopējo summu</t>
  </si>
  <si>
    <t>Nr.p.k.</t>
  </si>
  <si>
    <t>Pavisam būvniecības izmaksas</t>
  </si>
  <si>
    <t>Finanšu rezerve patēriņu cenu inflācijai</t>
  </si>
  <si>
    <t>Kopā</t>
  </si>
  <si>
    <t>PVN %</t>
  </si>
  <si>
    <t>PKT-01</t>
  </si>
  <si>
    <t>APSTIPRINU</t>
  </si>
  <si>
    <t>Z.v.</t>
  </si>
  <si>
    <t>Būvniecības koptāme (būvnieks)</t>
  </si>
  <si>
    <t>2014.gada_____________</t>
  </si>
  <si>
    <r>
      <t xml:space="preserve">Par kopējo summu, </t>
    </r>
    <r>
      <rPr>
        <sz val="10"/>
        <rFont val="Calibri"/>
        <family val="2"/>
      </rPr>
      <t>€</t>
    </r>
  </si>
  <si>
    <r>
      <t>Tāmes izmaksas (</t>
    </r>
    <r>
      <rPr>
        <sz val="10"/>
        <rFont val="Calibri"/>
        <family val="2"/>
      </rPr>
      <t>€</t>
    </r>
    <r>
      <rPr>
        <sz val="10"/>
        <rFont val="Arial"/>
        <family val="2"/>
      </rPr>
      <t>)</t>
    </r>
  </si>
  <si>
    <t>darba alga (€)</t>
  </si>
  <si>
    <t>materiāli (€)</t>
  </si>
  <si>
    <t>mehānismi (€)</t>
  </si>
  <si>
    <t>Objekta izmaksas €</t>
  </si>
  <si>
    <t>Pasūtītāja koptāme</t>
  </si>
  <si>
    <r>
      <t xml:space="preserve">Objekta izmaksas </t>
    </r>
    <r>
      <rPr>
        <sz val="11"/>
        <rFont val="Calibri"/>
        <family val="2"/>
      </rPr>
      <t>€</t>
    </r>
  </si>
  <si>
    <t>1.056</t>
  </si>
  <si>
    <t>2.065</t>
  </si>
  <si>
    <t>3.062</t>
  </si>
  <si>
    <t>3.063</t>
  </si>
  <si>
    <t>3.064</t>
  </si>
  <si>
    <t>4.036</t>
  </si>
  <si>
    <t>4.052</t>
  </si>
  <si>
    <t>4.053</t>
  </si>
  <si>
    <t>4.054</t>
  </si>
  <si>
    <t>5.047</t>
  </si>
  <si>
    <t>5.048</t>
  </si>
  <si>
    <t>6.050</t>
  </si>
  <si>
    <t>6.051</t>
  </si>
  <si>
    <t>7.058</t>
  </si>
  <si>
    <t>8.050</t>
  </si>
  <si>
    <t>8.051</t>
  </si>
  <si>
    <t>9.047</t>
  </si>
  <si>
    <t>9.048</t>
  </si>
  <si>
    <t>Veidgabalu montāža tranšejā</t>
  </si>
  <si>
    <t>Pretvārsts DN250</t>
  </si>
  <si>
    <t>1.057</t>
  </si>
  <si>
    <t>1.058</t>
  </si>
  <si>
    <t>2.066</t>
  </si>
  <si>
    <t>2.067</t>
  </si>
  <si>
    <t>3.065</t>
  </si>
  <si>
    <t>3.066</t>
  </si>
  <si>
    <t>7.059</t>
  </si>
  <si>
    <t>7.060</t>
  </si>
  <si>
    <t>7.061</t>
  </si>
  <si>
    <t>Esošās dzelzsbetona izlaides d400 tīrīšana ar hidrodinamisko mašīnu nodrošinot nosēdumu savākšanu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</si>
</sst>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%"/>
    <numFmt numFmtId="166" formatCode="yyyy\-mm\-dd;@"/>
    <numFmt numFmtId="167" formatCode="_-* #,##0_-;\-* #,##0_-;_-* &quot;-&quot;??_-;_-@_-"/>
    <numFmt numFmtId="168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vertAlign val="superscript"/>
      <sz val="12"/>
      <name val="Times New Roman"/>
      <family val="1"/>
    </font>
    <font>
      <i/>
      <vertAlign val="superscript"/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14"/>
      <name val="Times New Roman"/>
      <family val="1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/>
      <top style="double"/>
      <bottom/>
    </border>
    <border>
      <left/>
      <right/>
      <top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double"/>
    </border>
    <border>
      <left/>
      <right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thin"/>
      <right/>
      <top style="double"/>
      <bottom style="thin"/>
    </border>
    <border>
      <left style="medium"/>
      <right style="thin"/>
      <top style="thin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 style="double"/>
      <bottom style="thin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4" fillId="0" borderId="11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43" fontId="6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 textRotation="90" wrapText="1"/>
    </xf>
    <xf numFmtId="43" fontId="0" fillId="0" borderId="10" xfId="0" applyNumberFormat="1" applyFill="1" applyBorder="1" applyAlignment="1">
      <alignment/>
    </xf>
    <xf numFmtId="43" fontId="4" fillId="0" borderId="0" xfId="0" applyNumberFormat="1" applyFont="1" applyAlignment="1">
      <alignment/>
    </xf>
    <xf numFmtId="43" fontId="6" fillId="0" borderId="13" xfId="0" applyNumberFormat="1" applyFont="1" applyFill="1" applyBorder="1" applyAlignment="1">
      <alignment horizontal="center" vertical="center"/>
    </xf>
    <xf numFmtId="43" fontId="4" fillId="0" borderId="14" xfId="0" applyNumberFormat="1" applyFont="1" applyFill="1" applyBorder="1" applyAlignment="1">
      <alignment horizontal="center" vertical="center"/>
    </xf>
    <xf numFmtId="43" fontId="0" fillId="0" borderId="14" xfId="0" applyNumberFormat="1" applyFill="1" applyBorder="1" applyAlignment="1">
      <alignment/>
    </xf>
    <xf numFmtId="43" fontId="6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3" fontId="4" fillId="0" borderId="11" xfId="0" applyNumberFormat="1" applyFont="1" applyFill="1" applyBorder="1" applyAlignment="1">
      <alignment horizontal="center" vertical="center"/>
    </xf>
    <xf numFmtId="43" fontId="4" fillId="0" borderId="1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Alignment="1">
      <alignment horizontal="left"/>
    </xf>
    <xf numFmtId="2" fontId="0" fillId="0" borderId="12" xfId="0" applyNumberFormat="1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0" xfId="59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2" fontId="4" fillId="0" borderId="24" xfId="0" applyNumberFormat="1" applyFont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right" wrapText="1"/>
    </xf>
    <xf numFmtId="2" fontId="4" fillId="0" borderId="26" xfId="0" applyNumberFormat="1" applyFont="1" applyBorder="1" applyAlignment="1">
      <alignment vertical="center"/>
    </xf>
    <xf numFmtId="2" fontId="4" fillId="0" borderId="26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right"/>
    </xf>
    <xf numFmtId="2" fontId="4" fillId="0" borderId="27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vertical="center"/>
    </xf>
    <xf numFmtId="2" fontId="6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7" fillId="0" borderId="2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2" fontId="12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4" fillId="0" borderId="27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 quotePrefix="1">
      <alignment horizontal="center"/>
    </xf>
    <xf numFmtId="2" fontId="6" fillId="0" borderId="11" xfId="42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2" fontId="6" fillId="0" borderId="11" xfId="42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2" fontId="4" fillId="0" borderId="11" xfId="42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 quotePrefix="1">
      <alignment horizontal="center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43" fontId="0" fillId="0" borderId="10" xfId="0" applyNumberFormat="1" applyFont="1" applyFill="1" applyBorder="1" applyAlignment="1">
      <alignment/>
    </xf>
    <xf numFmtId="43" fontId="0" fillId="0" borderId="14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0" fillId="0" borderId="29" xfId="0" applyNumberFormat="1" applyFont="1" applyBorder="1" applyAlignment="1">
      <alignment vertical="center"/>
    </xf>
    <xf numFmtId="4" fontId="0" fillId="0" borderId="3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2" fontId="0" fillId="0" borderId="31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16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10" fontId="4" fillId="0" borderId="13" xfId="0" applyNumberFormat="1" applyFont="1" applyBorder="1" applyAlignment="1">
      <alignment horizontal="left" vertical="center"/>
    </xf>
    <xf numFmtId="2" fontId="4" fillId="0" borderId="13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65" fontId="0" fillId="0" borderId="10" xfId="0" applyNumberFormat="1" applyFont="1" applyBorder="1" applyAlignment="1">
      <alignment horizontal="left" vertical="center"/>
    </xf>
    <xf numFmtId="2" fontId="6" fillId="0" borderId="31" xfId="0" applyNumberFormat="1" applyFont="1" applyFill="1" applyBorder="1" applyAlignment="1">
      <alignment horizontal="right" wrapText="1"/>
    </xf>
    <xf numFmtId="43" fontId="6" fillId="0" borderId="31" xfId="0" applyNumberFormat="1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4" fillId="0" borderId="10" xfId="59" applyFont="1" applyFill="1" applyBorder="1" applyAlignment="1">
      <alignment horizontal="center"/>
      <protection/>
    </xf>
    <xf numFmtId="2" fontId="4" fillId="0" borderId="0" xfId="0" applyNumberFormat="1" applyFont="1" applyBorder="1" applyAlignment="1">
      <alignment/>
    </xf>
    <xf numFmtId="2" fontId="4" fillId="0" borderId="11" xfId="59" applyNumberFormat="1" applyFont="1" applyBorder="1" applyAlignment="1">
      <alignment horizontal="center"/>
      <protection/>
    </xf>
    <xf numFmtId="2" fontId="4" fillId="0" borderId="11" xfId="59" applyNumberFormat="1" applyFont="1" applyFill="1" applyBorder="1" applyAlignment="1">
      <alignment horizontal="center"/>
      <protection/>
    </xf>
    <xf numFmtId="2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3" fontId="4" fillId="0" borderId="11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2" fontId="16" fillId="0" borderId="31" xfId="48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3" fontId="4" fillId="0" borderId="10" xfId="0" applyNumberFormat="1" applyFont="1" applyBorder="1" applyAlignment="1">
      <alignment vertical="center"/>
    </xf>
    <xf numFmtId="43" fontId="6" fillId="0" borderId="10" xfId="0" applyNumberFormat="1" applyFont="1" applyFill="1" applyBorder="1" applyAlignment="1">
      <alignment vertical="center"/>
    </xf>
    <xf numFmtId="43" fontId="4" fillId="0" borderId="10" xfId="0" applyNumberFormat="1" applyFont="1" applyFill="1" applyBorder="1" applyAlignment="1">
      <alignment vertical="center"/>
    </xf>
    <xf numFmtId="43" fontId="4" fillId="0" borderId="13" xfId="0" applyNumberFormat="1" applyFont="1" applyFill="1" applyBorder="1" applyAlignment="1">
      <alignment horizontal="center" vertical="center"/>
    </xf>
    <xf numFmtId="43" fontId="6" fillId="0" borderId="13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2" fontId="6" fillId="0" borderId="31" xfId="0" applyNumberFormat="1" applyFont="1" applyFill="1" applyBorder="1" applyAlignment="1">
      <alignment horizontal="center" vertical="center"/>
    </xf>
    <xf numFmtId="43" fontId="6" fillId="0" borderId="31" xfId="0" applyNumberFormat="1" applyFont="1" applyFill="1" applyBorder="1" applyAlignment="1">
      <alignment horizontal="center" vertical="center"/>
    </xf>
    <xf numFmtId="9" fontId="0" fillId="0" borderId="10" xfId="59" applyNumberFormat="1" applyFont="1" applyBorder="1" applyAlignment="1">
      <alignment horizontal="center" vertical="center"/>
      <protection/>
    </xf>
    <xf numFmtId="43" fontId="4" fillId="0" borderId="10" xfId="0" applyNumberFormat="1" applyFont="1" applyBorder="1" applyAlignment="1">
      <alignment horizontal="center" vertical="center"/>
    </xf>
    <xf numFmtId="43" fontId="4" fillId="0" borderId="10" xfId="0" applyNumberFormat="1" applyFont="1" applyFill="1" applyBorder="1" applyAlignment="1">
      <alignment/>
    </xf>
    <xf numFmtId="43" fontId="4" fillId="0" borderId="10" xfId="57" applyNumberFormat="1" applyFont="1" applyFill="1" applyBorder="1" applyAlignment="1">
      <alignment horizontal="center" vertical="center"/>
      <protection/>
    </xf>
    <xf numFmtId="43" fontId="4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 vertical="center"/>
    </xf>
    <xf numFmtId="168" fontId="4" fillId="0" borderId="10" xfId="44" applyNumberFormat="1" applyFont="1" applyFill="1" applyBorder="1" applyAlignment="1">
      <alignment horizontal="center" vertical="center"/>
    </xf>
    <xf numFmtId="168" fontId="6" fillId="0" borderId="10" xfId="44" applyNumberFormat="1" applyFont="1" applyFill="1" applyBorder="1" applyAlignment="1">
      <alignment horizontal="center" vertical="center"/>
    </xf>
    <xf numFmtId="168" fontId="6" fillId="0" borderId="13" xfId="44" applyNumberFormat="1" applyFont="1" applyFill="1" applyBorder="1" applyAlignment="1">
      <alignment horizontal="center" vertical="center"/>
    </xf>
    <xf numFmtId="168" fontId="6" fillId="0" borderId="10" xfId="44" applyNumberFormat="1" applyFont="1" applyFill="1" applyBorder="1" applyAlignment="1">
      <alignment horizontal="center" vertical="center" wrapText="1"/>
    </xf>
    <xf numFmtId="43" fontId="4" fillId="0" borderId="13" xfId="0" applyNumberFormat="1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horizontal="center" vertical="center"/>
    </xf>
    <xf numFmtId="43" fontId="20" fillId="4" borderId="10" xfId="48" applyNumberForma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vertical="center"/>
    </xf>
    <xf numFmtId="43" fontId="20" fillId="0" borderId="10" xfId="48" applyNumberForma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vertical="center"/>
    </xf>
    <xf numFmtId="0" fontId="18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vertical="center"/>
    </xf>
    <xf numFmtId="0" fontId="0" fillId="0" borderId="0" xfId="0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4" fontId="0" fillId="0" borderId="0" xfId="0" applyNumberFormat="1" applyFont="1" applyFill="1" applyBorder="1" applyAlignment="1">
      <alignment/>
    </xf>
    <xf numFmtId="43" fontId="6" fillId="0" borderId="26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9" fontId="0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0" fontId="4" fillId="0" borderId="14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4" fontId="4" fillId="0" borderId="1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38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4" fillId="0" borderId="22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4" fontId="4" fillId="0" borderId="11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/>
    </xf>
    <xf numFmtId="2" fontId="0" fillId="0" borderId="4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49" xfId="0" applyFont="1" applyBorder="1" applyAlignment="1">
      <alignment horizontal="right"/>
    </xf>
    <xf numFmtId="0" fontId="4" fillId="0" borderId="5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5" fillId="0" borderId="54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2" fontId="7" fillId="7" borderId="55" xfId="0" applyNumberFormat="1" applyFont="1" applyFill="1" applyBorder="1" applyAlignment="1">
      <alignment horizontal="left" vertical="center" wrapText="1"/>
    </xf>
    <xf numFmtId="2" fontId="7" fillId="7" borderId="56" xfId="0" applyNumberFormat="1" applyFont="1" applyFill="1" applyBorder="1" applyAlignment="1">
      <alignment horizontal="left" vertical="center" wrapText="1"/>
    </xf>
    <xf numFmtId="2" fontId="3" fillId="2" borderId="55" xfId="0" applyNumberFormat="1" applyFont="1" applyFill="1" applyBorder="1" applyAlignment="1">
      <alignment horizontal="center" vertical="center" wrapText="1"/>
    </xf>
    <xf numFmtId="2" fontId="3" fillId="2" borderId="56" xfId="0" applyNumberFormat="1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0" fillId="0" borderId="50" xfId="0" applyFont="1" applyFill="1" applyBorder="1" applyAlignment="1">
      <alignment horizontal="center" vertical="center"/>
    </xf>
    <xf numFmtId="2" fontId="7" fillId="7" borderId="57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7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2" fontId="7" fillId="7" borderId="19" xfId="0" applyNumberFormat="1" applyFont="1" applyFill="1" applyBorder="1" applyAlignment="1">
      <alignment horizontal="left" vertical="center" wrapText="1"/>
    </xf>
    <xf numFmtId="2" fontId="7" fillId="7" borderId="20" xfId="0" applyNumberFormat="1" applyFont="1" applyFill="1" applyBorder="1" applyAlignment="1">
      <alignment horizontal="left" vertical="center" wrapText="1"/>
    </xf>
    <xf numFmtId="2" fontId="7" fillId="7" borderId="59" xfId="0" applyNumberFormat="1" applyFont="1" applyFill="1" applyBorder="1" applyAlignment="1">
      <alignment horizontal="left" vertical="center" wrapText="1"/>
    </xf>
    <xf numFmtId="2" fontId="7" fillId="7" borderId="33" xfId="0" applyNumberFormat="1" applyFont="1" applyFill="1" applyBorder="1" applyAlignment="1">
      <alignment horizontal="left" vertical="center" wrapText="1"/>
    </xf>
    <xf numFmtId="2" fontId="7" fillId="7" borderId="60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center" textRotation="90" wrapText="1"/>
    </xf>
    <xf numFmtId="0" fontId="0" fillId="0" borderId="62" xfId="0" applyFont="1" applyFill="1" applyBorder="1" applyAlignment="1">
      <alignment horizontal="center" textRotation="90" wrapText="1"/>
    </xf>
    <xf numFmtId="2" fontId="7" fillId="7" borderId="63" xfId="0" applyNumberFormat="1" applyFont="1" applyFill="1" applyBorder="1" applyAlignment="1">
      <alignment horizontal="left" vertical="center" wrapText="1"/>
    </xf>
    <xf numFmtId="2" fontId="7" fillId="7" borderId="64" xfId="0" applyNumberFormat="1" applyFont="1" applyFill="1" applyBorder="1" applyAlignment="1">
      <alignment horizontal="left" vertical="center" wrapText="1"/>
    </xf>
    <xf numFmtId="2" fontId="7" fillId="7" borderId="65" xfId="0" applyNumberFormat="1" applyFont="1" applyFill="1" applyBorder="1" applyAlignment="1">
      <alignment horizontal="left" vertical="center" wrapText="1"/>
    </xf>
    <xf numFmtId="9" fontId="0" fillId="24" borderId="10" xfId="59" applyNumberFormat="1" applyFont="1" applyFill="1" applyBorder="1" applyAlignment="1">
      <alignment horizontal="center" vertical="center"/>
      <protection/>
    </xf>
    <xf numFmtId="165" fontId="4" fillId="0" borderId="10" xfId="0" applyNumberFormat="1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_Kekavas B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Kopeejie\CProjekti\Tames_000\Kekavas%20T_VEIDN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Kopeejie\Kekava\Udenssaimn_2012\TP\&#310;ekavas%20BA,T_labotie\Kekavas%20T_rew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ūvnieka koptāme"/>
      <sheetName val="Pasūtītāja koptāme"/>
      <sheetName val="Kopsavilkums"/>
      <sheetName val="veidne"/>
    </sheetNames>
    <sheetDataSet>
      <sheetData sheetId="0">
        <row r="26">
          <cell r="A26" t="str">
            <v>Sastādīja: </v>
          </cell>
        </row>
        <row r="28">
          <cell r="A28" t="str">
            <v>Pārbaudīja: </v>
          </cell>
        </row>
      </sheetData>
      <sheetData sheetId="2">
        <row r="13">
          <cell r="D13" t="str">
            <v>Tāme sastādīta: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sūtītāja koptāme"/>
      <sheetName val="Būvnieka koptāme"/>
      <sheetName val="Kopsavilkums"/>
      <sheetName val="LT-1;Bumbieru"/>
      <sheetName val="LT-2;Cidoniju"/>
      <sheetName val="LT-3;Aroniju"/>
      <sheetName val="LT-4;Plūmju"/>
      <sheetName val="LT-5;Egļu"/>
      <sheetName val="LT-6;Ābolu"/>
      <sheetName val="LT-7;Lilliju"/>
      <sheetName val="LT-8;Vēju "/>
      <sheetName val="LT-9;Flokšu"/>
      <sheetName val="LT-10;Vijolīšu"/>
      <sheetName val="LT-11;Dāliju"/>
      <sheetName val="LT-12;Lefkoju"/>
      <sheetName val="LT-13;Prīmulu"/>
      <sheetName val="LT-14;Cīruļu"/>
      <sheetName val="LT-15;Limoniju-Egļu"/>
      <sheetName val="LT-16;Laimiņu"/>
      <sheetName val="LT-17;Samteņu"/>
      <sheetName val="LT-18;Gerberu"/>
      <sheetName val="LT-19;Zemeņu"/>
      <sheetName val="LT-20;Narcišu"/>
      <sheetName val="LT-21;Īrisu"/>
      <sheetName val="LT-22;Ķiršu"/>
      <sheetName val="LT-23;Pīpeņu"/>
      <sheetName val="LT-24;Ziedoņa aleja"/>
      <sheetName val="LT-25;Ozolīšu"/>
      <sheetName val="LT-26;Rožu"/>
      <sheetName val="LT-27;Vecā"/>
      <sheetName val="LT-28;Krokusu"/>
      <sheetName val="LT-29;Veroniku"/>
      <sheetName val="LT-30;Delfīniju"/>
      <sheetName val="LT-31;Ozolu"/>
      <sheetName val="LT-32;Lavandu"/>
      <sheetName val="LT-33;Vaļņu"/>
      <sheetName val="LT-34;Rudzupuķu"/>
      <sheetName val="LT-35;Uzsk.mezgls"/>
    </sheetNames>
    <sheetDataSet>
      <sheetData sheetId="1">
        <row r="14">
          <cell r="H14" t="str">
            <v>2013.gada maijā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SheetLayoutView="100" zoomScalePageLayoutView="0" workbookViewId="0" topLeftCell="A1">
      <selection activeCell="A7" sqref="A7:B7"/>
    </sheetView>
  </sheetViews>
  <sheetFormatPr defaultColWidth="9.140625" defaultRowHeight="12.75"/>
  <cols>
    <col min="1" max="1" width="15.28125" style="0" customWidth="1"/>
    <col min="3" max="3" width="16.28125" style="0" customWidth="1"/>
    <col min="7" max="7" width="12.7109375" style="0" customWidth="1"/>
    <col min="8" max="8" width="11.00390625" style="0" customWidth="1"/>
    <col min="10" max="10" width="12.57421875" style="0" customWidth="1"/>
  </cols>
  <sheetData>
    <row r="1" spans="1:7" ht="15.75" thickBot="1">
      <c r="A1" s="209"/>
      <c r="B1" s="40" t="s">
        <v>708</v>
      </c>
      <c r="C1" s="40"/>
      <c r="D1" s="40"/>
      <c r="E1" s="40"/>
      <c r="F1" s="40"/>
      <c r="G1" s="40"/>
    </row>
    <row r="2" spans="1:7" ht="15.75" thickTop="1">
      <c r="A2" s="31"/>
      <c r="B2" s="210" t="s">
        <v>719</v>
      </c>
      <c r="C2" s="39"/>
      <c r="D2" s="39"/>
      <c r="E2" s="39"/>
      <c r="F2" s="39"/>
      <c r="G2" s="39"/>
    </row>
    <row r="3" spans="1:10" ht="12.75" customHeight="1">
      <c r="A3" s="269" t="s">
        <v>21</v>
      </c>
      <c r="B3" s="269"/>
      <c r="C3" s="270" t="str">
        <f>'Būvniecības kopt.'!C10</f>
        <v>Lietus ūdens kanalizācijas ārējie tīkli KDS "Ziedonis", Katlakalns, Ķekavas pagasts, Ķekavas novads</v>
      </c>
      <c r="D3" s="270"/>
      <c r="E3" s="270"/>
      <c r="F3" s="270"/>
      <c r="G3" s="270"/>
      <c r="H3" s="270"/>
      <c r="I3" s="270"/>
      <c r="J3" s="270"/>
    </row>
    <row r="4" spans="1:10" ht="12.75">
      <c r="A4" s="269"/>
      <c r="B4" s="269"/>
      <c r="C4" s="270"/>
      <c r="D4" s="270"/>
      <c r="E4" s="270"/>
      <c r="F4" s="270"/>
      <c r="G4" s="270"/>
      <c r="H4" s="270"/>
      <c r="I4" s="270"/>
      <c r="J4" s="270"/>
    </row>
    <row r="5" spans="1:3" ht="12.75">
      <c r="A5" s="211" t="s">
        <v>22</v>
      </c>
      <c r="B5" s="14" t="str">
        <f>'Būvniecības kopt.'!C11</f>
        <v>KDS "Ziedonis", Katlakalns, Ķekavas pagasts, Ķekavas novads</v>
      </c>
      <c r="C5" s="212"/>
    </row>
    <row r="6" spans="1:8" ht="12.75">
      <c r="A6" s="211" t="s">
        <v>23</v>
      </c>
      <c r="B6" s="14">
        <f>'Būvniecības kopt.'!C12</f>
        <v>0</v>
      </c>
      <c r="C6" s="212"/>
      <c r="E6" s="213" t="s">
        <v>702</v>
      </c>
      <c r="F6" s="31"/>
      <c r="G6" s="2"/>
      <c r="H6" s="204" t="s">
        <v>685</v>
      </c>
    </row>
    <row r="7" spans="1:7" ht="12.75">
      <c r="A7" s="211"/>
      <c r="B7" s="238"/>
      <c r="C7" s="212"/>
      <c r="D7" s="53"/>
      <c r="E7" s="53"/>
      <c r="F7" s="53"/>
      <c r="G7" s="51"/>
    </row>
    <row r="8" spans="1:7" ht="13.5" thickBot="1">
      <c r="A8" s="14" t="str">
        <f>'[1]Kopsavilkums'!D13</f>
        <v>Tāme sastādīta: </v>
      </c>
      <c r="B8" s="8">
        <f>'Būvniecības kopt.'!H14</f>
        <v>0</v>
      </c>
      <c r="C8" s="8"/>
      <c r="D8" s="8"/>
      <c r="E8" s="8"/>
      <c r="F8" s="8"/>
      <c r="G8" s="214"/>
    </row>
    <row r="9" spans="1:10" ht="15" thickBot="1">
      <c r="A9" s="215" t="s">
        <v>703</v>
      </c>
      <c r="B9" s="271" t="s">
        <v>21</v>
      </c>
      <c r="C9" s="271"/>
      <c r="D9" s="271"/>
      <c r="E9" s="271"/>
      <c r="F9" s="271"/>
      <c r="G9" s="271"/>
      <c r="H9" s="271"/>
      <c r="I9" s="272" t="s">
        <v>720</v>
      </c>
      <c r="J9" s="273"/>
    </row>
    <row r="10" spans="1:10" ht="45" customHeight="1" thickTop="1">
      <c r="A10" s="216">
        <v>1</v>
      </c>
      <c r="B10" s="248" t="str">
        <f>'Būvniecības kopt.'!B18</f>
        <v>Lietus ūdens kanalizācijas ārējie tīkli KDS "Ziedonis", Katlakalns, Ķekavas pagasts, Ķekavas novads</v>
      </c>
      <c r="C10" s="260"/>
      <c r="D10" s="260"/>
      <c r="E10" s="260"/>
      <c r="F10" s="260"/>
      <c r="G10" s="260"/>
      <c r="H10" s="261"/>
      <c r="I10" s="262"/>
      <c r="J10" s="263"/>
    </row>
    <row r="11" spans="1:10" ht="12.75">
      <c r="A11" s="217"/>
      <c r="B11" s="264" t="s">
        <v>704</v>
      </c>
      <c r="C11" s="265"/>
      <c r="D11" s="265"/>
      <c r="E11" s="265"/>
      <c r="F11" s="265"/>
      <c r="G11" s="265"/>
      <c r="H11" s="266"/>
      <c r="I11" s="267"/>
      <c r="J11" s="268"/>
    </row>
    <row r="12" spans="1:10" ht="12.75">
      <c r="A12" s="256" t="s">
        <v>705</v>
      </c>
      <c r="B12" s="257"/>
      <c r="C12" s="257"/>
      <c r="D12" s="257"/>
      <c r="E12" s="257"/>
      <c r="F12" s="257"/>
      <c r="G12" s="257"/>
      <c r="H12" s="218">
        <v>0.02</v>
      </c>
      <c r="I12" s="258"/>
      <c r="J12" s="259"/>
    </row>
    <row r="13" spans="1:10" ht="12.75">
      <c r="A13" s="256"/>
      <c r="B13" s="257"/>
      <c r="C13" s="257"/>
      <c r="D13" s="257"/>
      <c r="E13" s="257"/>
      <c r="F13" s="257"/>
      <c r="G13" s="257"/>
      <c r="H13" s="218"/>
      <c r="I13" s="258"/>
      <c r="J13" s="259"/>
    </row>
    <row r="14" spans="1:10" ht="12.75">
      <c r="A14" s="256"/>
      <c r="B14" s="257"/>
      <c r="C14" s="257"/>
      <c r="D14" s="257"/>
      <c r="E14" s="257"/>
      <c r="F14" s="257"/>
      <c r="G14" s="257"/>
      <c r="H14" s="218"/>
      <c r="I14" s="258"/>
      <c r="J14" s="259"/>
    </row>
    <row r="15" spans="1:10" ht="12.75">
      <c r="A15" s="249" t="s">
        <v>706</v>
      </c>
      <c r="B15" s="250"/>
      <c r="C15" s="250"/>
      <c r="D15" s="250"/>
      <c r="E15" s="250"/>
      <c r="F15" s="250"/>
      <c r="G15" s="250"/>
      <c r="H15" s="250"/>
      <c r="I15" s="251"/>
      <c r="J15" s="247"/>
    </row>
    <row r="16" spans="1:10" ht="12.75">
      <c r="A16" s="256" t="s">
        <v>707</v>
      </c>
      <c r="B16" s="257"/>
      <c r="C16" s="257"/>
      <c r="D16" s="257"/>
      <c r="E16" s="257"/>
      <c r="F16" s="257"/>
      <c r="G16" s="257"/>
      <c r="H16" s="219">
        <v>0.21</v>
      </c>
      <c r="I16" s="258"/>
      <c r="J16" s="259"/>
    </row>
    <row r="17" spans="1:10" ht="13.5" thickBot="1">
      <c r="A17" s="252" t="s">
        <v>706</v>
      </c>
      <c r="B17" s="253"/>
      <c r="C17" s="253"/>
      <c r="D17" s="253"/>
      <c r="E17" s="253"/>
      <c r="F17" s="253"/>
      <c r="G17" s="253"/>
      <c r="H17" s="253"/>
      <c r="I17" s="254"/>
      <c r="J17" s="255"/>
    </row>
    <row r="20" ht="12.75">
      <c r="A20" t="str">
        <f>'[1]Būvnieka koptāme'!A26</f>
        <v>Sastādīja: </v>
      </c>
    </row>
    <row r="22" ht="12.75">
      <c r="A22" t="str">
        <f>'[1]Būvnieka koptāme'!A28</f>
        <v>Pārbaudīja: </v>
      </c>
    </row>
  </sheetData>
  <sheetProtection/>
  <mergeCells count="20">
    <mergeCell ref="A3:B4"/>
    <mergeCell ref="C3:J4"/>
    <mergeCell ref="B9:H9"/>
    <mergeCell ref="I9:J9"/>
    <mergeCell ref="B10:H10"/>
    <mergeCell ref="I10:J10"/>
    <mergeCell ref="B11:H11"/>
    <mergeCell ref="I11:J11"/>
    <mergeCell ref="A12:G12"/>
    <mergeCell ref="I12:J12"/>
    <mergeCell ref="A13:G13"/>
    <mergeCell ref="I13:J13"/>
    <mergeCell ref="A17:H17"/>
    <mergeCell ref="I17:J17"/>
    <mergeCell ref="A14:G14"/>
    <mergeCell ref="I14:J14"/>
    <mergeCell ref="A15:H15"/>
    <mergeCell ref="I15:J15"/>
    <mergeCell ref="A16:G16"/>
    <mergeCell ref="I16:J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 alignWithMargins="0">
    <oddFooter>&amp;CLapa &amp;P no &amp;N;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105"/>
  <sheetViews>
    <sheetView view="pageBreakPreview" zoomScaleSheetLayoutView="100" zoomScalePageLayoutView="0" workbookViewId="0" topLeftCell="A85">
      <pane xSplit="4" topLeftCell="E1" activePane="topRight" state="frozen"/>
      <selection pane="topLeft" activeCell="A2" sqref="A2"/>
      <selection pane="topRight" activeCell="C88" sqref="C88"/>
    </sheetView>
  </sheetViews>
  <sheetFormatPr defaultColWidth="9.140625" defaultRowHeight="12.75" outlineLevelRow="1"/>
  <cols>
    <col min="1" max="1" width="13.8515625" style="130" customWidth="1"/>
    <col min="2" max="2" width="43.8515625" style="130" customWidth="1"/>
    <col min="3" max="3" width="10.140625" style="130" customWidth="1"/>
    <col min="4" max="4" width="10.28125" style="67" customWidth="1"/>
    <col min="5" max="5" width="6.7109375" style="130" bestFit="1" customWidth="1"/>
    <col min="6" max="6" width="7.00390625" style="130" customWidth="1"/>
    <col min="7" max="7" width="8.00390625" style="130" customWidth="1"/>
    <col min="8" max="8" width="9.421875" style="130" customWidth="1"/>
    <col min="9" max="9" width="7.00390625" style="130" customWidth="1"/>
    <col min="10" max="10" width="9.57421875" style="130" customWidth="1"/>
    <col min="11" max="12" width="9.421875" style="130" bestFit="1" customWidth="1"/>
    <col min="13" max="13" width="10.8515625" style="130" customWidth="1"/>
    <col min="14" max="14" width="9.421875" style="130" bestFit="1" customWidth="1"/>
    <col min="15" max="15" width="10.421875" style="130" bestFit="1" customWidth="1"/>
    <col min="16" max="16" width="10.28125" style="130" bestFit="1" customWidth="1"/>
    <col min="17" max="16384" width="9.140625" style="130" customWidth="1"/>
  </cols>
  <sheetData>
    <row r="1" spans="6:9" ht="12.75" outlineLevel="1">
      <c r="F1" s="130">
        <v>5.41</v>
      </c>
      <c r="I1" s="131">
        <v>0.08</v>
      </c>
    </row>
    <row r="2" spans="1:15" s="31" customFormat="1" ht="15.75" thickBot="1">
      <c r="A2" s="337" t="s">
        <v>699</v>
      </c>
      <c r="B2" s="337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31" customFormat="1" ht="14.25" customHeight="1" thickTop="1">
      <c r="A3" s="329" t="s">
        <v>549</v>
      </c>
      <c r="B3" s="329"/>
      <c r="C3" s="329"/>
      <c r="D3" s="32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31" customFormat="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31" customFormat="1" ht="25.5">
      <c r="A5" s="41" t="s">
        <v>21</v>
      </c>
      <c r="B5" s="331" t="s">
        <v>163</v>
      </c>
      <c r="C5" s="331"/>
      <c r="D5" s="331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31" customFormat="1" ht="12.75">
      <c r="A6" s="8" t="s">
        <v>22</v>
      </c>
      <c r="B6" s="320" t="str">
        <f>'LKT-6;Lefkoju'!B6:D6</f>
        <v>KDS "Ziedonis", Katlakalns, Ķekavas pagasts, Ķekavas novads</v>
      </c>
      <c r="C6" s="320"/>
      <c r="D6" s="320"/>
      <c r="E6" s="14"/>
      <c r="F6" s="14"/>
      <c r="G6" s="14"/>
      <c r="H6" s="14"/>
      <c r="I6" s="14"/>
      <c r="J6" s="14"/>
      <c r="K6" s="14"/>
      <c r="L6" s="8"/>
      <c r="M6" s="8"/>
      <c r="N6" s="8"/>
      <c r="O6" s="8"/>
    </row>
    <row r="7" spans="1:15" s="31" customFormat="1" ht="12.75">
      <c r="A7" s="8"/>
      <c r="B7" s="320"/>
      <c r="C7" s="320"/>
      <c r="D7" s="320"/>
      <c r="E7" s="50"/>
      <c r="F7" s="50"/>
      <c r="H7" s="1"/>
      <c r="I7" s="17" t="s">
        <v>8</v>
      </c>
      <c r="J7" s="2">
        <f>O89</f>
        <v>0</v>
      </c>
      <c r="K7" s="1" t="s">
        <v>685</v>
      </c>
      <c r="L7" s="53"/>
      <c r="M7" s="8"/>
      <c r="N7" s="8"/>
      <c r="O7" s="8"/>
    </row>
    <row r="8" spans="1:15" s="31" customFormat="1" ht="13.5" thickBot="1">
      <c r="A8" s="8"/>
      <c r="B8" s="320"/>
      <c r="C8" s="320"/>
      <c r="D8" s="320"/>
      <c r="E8" s="52"/>
      <c r="F8" s="53"/>
      <c r="G8" s="322" t="s">
        <v>663</v>
      </c>
      <c r="H8" s="322"/>
      <c r="I8" s="322"/>
      <c r="J8" s="323" t="s">
        <v>686</v>
      </c>
      <c r="K8" s="323"/>
      <c r="L8" s="323"/>
      <c r="M8" s="53"/>
      <c r="N8" s="53"/>
      <c r="O8" s="53"/>
    </row>
    <row r="9" spans="1:15" s="31" customFormat="1" ht="18.75" customHeight="1">
      <c r="A9" s="324" t="s">
        <v>24</v>
      </c>
      <c r="B9" s="318" t="s">
        <v>25</v>
      </c>
      <c r="C9" s="327" t="s">
        <v>26</v>
      </c>
      <c r="D9" s="327" t="s">
        <v>27</v>
      </c>
      <c r="E9" s="318" t="s">
        <v>28</v>
      </c>
      <c r="F9" s="318"/>
      <c r="G9" s="318"/>
      <c r="H9" s="318"/>
      <c r="I9" s="318"/>
      <c r="J9" s="318"/>
      <c r="K9" s="318" t="s">
        <v>29</v>
      </c>
      <c r="L9" s="318" t="s">
        <v>29</v>
      </c>
      <c r="M9" s="318"/>
      <c r="N9" s="318"/>
      <c r="O9" s="321"/>
    </row>
    <row r="10" spans="1:15" s="31" customFormat="1" ht="76.5" customHeight="1" thickBot="1">
      <c r="A10" s="325"/>
      <c r="B10" s="326"/>
      <c r="C10" s="328"/>
      <c r="D10" s="328"/>
      <c r="E10" s="32" t="s">
        <v>30</v>
      </c>
      <c r="F10" s="32" t="s">
        <v>678</v>
      </c>
      <c r="G10" s="32" t="s">
        <v>677</v>
      </c>
      <c r="H10" s="56" t="s">
        <v>679</v>
      </c>
      <c r="I10" s="32" t="s">
        <v>680</v>
      </c>
      <c r="J10" s="32" t="s">
        <v>681</v>
      </c>
      <c r="K10" s="32" t="s">
        <v>31</v>
      </c>
      <c r="L10" s="32" t="s">
        <v>682</v>
      </c>
      <c r="M10" s="32" t="s">
        <v>683</v>
      </c>
      <c r="N10" s="32" t="s">
        <v>680</v>
      </c>
      <c r="O10" s="57" t="s">
        <v>684</v>
      </c>
    </row>
    <row r="11" spans="1:15" s="3" customFormat="1" ht="15" customHeight="1" thickBot="1">
      <c r="A11" s="58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  <c r="G11" s="59">
        <v>7</v>
      </c>
      <c r="H11" s="59">
        <v>8</v>
      </c>
      <c r="I11" s="59">
        <v>9</v>
      </c>
      <c r="J11" s="59">
        <v>10</v>
      </c>
      <c r="K11" s="59">
        <v>11</v>
      </c>
      <c r="L11" s="59">
        <v>12</v>
      </c>
      <c r="M11" s="59">
        <v>13</v>
      </c>
      <c r="N11" s="59">
        <v>14</v>
      </c>
      <c r="O11" s="60">
        <v>15</v>
      </c>
    </row>
    <row r="12" spans="1:15" s="44" customFormat="1" ht="15" customHeight="1" thickBot="1">
      <c r="A12" s="71"/>
      <c r="B12" s="71"/>
      <c r="C12" s="71"/>
      <c r="D12" s="71"/>
      <c r="E12" s="72"/>
      <c r="F12" s="72"/>
      <c r="G12" s="72"/>
      <c r="H12" s="72"/>
      <c r="I12" s="72"/>
      <c r="J12" s="61"/>
      <c r="K12" s="61"/>
      <c r="L12" s="61"/>
      <c r="M12" s="61"/>
      <c r="N12" s="61"/>
      <c r="O12" s="61"/>
    </row>
    <row r="13" spans="1:15" s="45" customFormat="1" ht="15" customHeight="1" thickBot="1">
      <c r="A13" s="314" t="s">
        <v>107</v>
      </c>
      <c r="B13" s="315"/>
      <c r="C13" s="315"/>
      <c r="D13" s="315"/>
      <c r="E13" s="73"/>
      <c r="F13" s="72"/>
      <c r="G13" s="72"/>
      <c r="H13" s="72"/>
      <c r="I13" s="72"/>
      <c r="J13" s="61"/>
      <c r="K13" s="61"/>
      <c r="L13" s="61"/>
      <c r="M13" s="61"/>
      <c r="N13" s="61"/>
      <c r="O13" s="62"/>
    </row>
    <row r="14" spans="1:15" s="3" customFormat="1" ht="15" customHeight="1" thickBot="1">
      <c r="A14" s="312" t="s">
        <v>106</v>
      </c>
      <c r="B14" s="313"/>
      <c r="C14" s="313"/>
      <c r="D14" s="319"/>
      <c r="E14" s="74"/>
      <c r="F14" s="75"/>
      <c r="G14" s="15"/>
      <c r="H14" s="15"/>
      <c r="I14" s="15"/>
      <c r="J14" s="42"/>
      <c r="K14" s="42"/>
      <c r="L14" s="42"/>
      <c r="M14" s="42"/>
      <c r="N14" s="42"/>
      <c r="O14" s="43"/>
    </row>
    <row r="15" spans="1:15" s="27" customFormat="1" ht="25.5">
      <c r="A15" s="70" t="s">
        <v>492</v>
      </c>
      <c r="B15" s="80" t="s">
        <v>50</v>
      </c>
      <c r="C15" s="70" t="s">
        <v>32</v>
      </c>
      <c r="D15" s="70">
        <v>1</v>
      </c>
      <c r="E15" s="185"/>
      <c r="F15" s="21"/>
      <c r="G15" s="185"/>
      <c r="H15" s="193"/>
      <c r="I15" s="21"/>
      <c r="J15" s="21"/>
      <c r="K15" s="21"/>
      <c r="L15" s="21"/>
      <c r="M15" s="21"/>
      <c r="N15" s="21"/>
      <c r="O15" s="21"/>
    </row>
    <row r="16" spans="1:15" s="27" customFormat="1" ht="27" customHeight="1">
      <c r="A16" s="70" t="s">
        <v>493</v>
      </c>
      <c r="B16" s="78" t="s">
        <v>51</v>
      </c>
      <c r="C16" s="75" t="s">
        <v>47</v>
      </c>
      <c r="D16" s="70">
        <v>1</v>
      </c>
      <c r="E16" s="185"/>
      <c r="F16" s="21"/>
      <c r="G16" s="183"/>
      <c r="H16" s="195"/>
      <c r="I16" s="21"/>
      <c r="J16" s="21"/>
      <c r="K16" s="21"/>
      <c r="L16" s="21"/>
      <c r="M16" s="21"/>
      <c r="N16" s="21"/>
      <c r="O16" s="36"/>
    </row>
    <row r="17" spans="1:15" s="27" customFormat="1" ht="25.5">
      <c r="A17" s="70" t="s">
        <v>494</v>
      </c>
      <c r="B17" s="78" t="s">
        <v>186</v>
      </c>
      <c r="C17" s="75" t="s">
        <v>16</v>
      </c>
      <c r="D17" s="70">
        <v>13</v>
      </c>
      <c r="E17" s="185"/>
      <c r="F17" s="21"/>
      <c r="G17" s="183"/>
      <c r="H17" s="183"/>
      <c r="I17" s="21"/>
      <c r="J17" s="21"/>
      <c r="K17" s="21"/>
      <c r="L17" s="21"/>
      <c r="M17" s="21"/>
      <c r="N17" s="21"/>
      <c r="O17" s="36"/>
    </row>
    <row r="18" spans="1:15" s="27" customFormat="1" ht="13.5" thickBot="1">
      <c r="A18" s="70" t="s">
        <v>495</v>
      </c>
      <c r="B18" s="78" t="s">
        <v>45</v>
      </c>
      <c r="C18" s="79" t="s">
        <v>46</v>
      </c>
      <c r="D18" s="70">
        <v>1</v>
      </c>
      <c r="E18" s="21"/>
      <c r="F18" s="21"/>
      <c r="G18" s="185"/>
      <c r="H18" s="193"/>
      <c r="I18" s="21"/>
      <c r="J18" s="21"/>
      <c r="K18" s="202"/>
      <c r="L18" s="21"/>
      <c r="M18" s="21"/>
      <c r="N18" s="21"/>
      <c r="O18" s="21"/>
    </row>
    <row r="19" spans="1:15" ht="14.25" customHeight="1" thickBot="1">
      <c r="A19" s="312" t="s">
        <v>105</v>
      </c>
      <c r="B19" s="313"/>
      <c r="C19" s="313"/>
      <c r="D19" s="319"/>
      <c r="E19" s="74"/>
      <c r="F19" s="75"/>
      <c r="G19" s="15"/>
      <c r="H19" s="15"/>
      <c r="I19" s="15"/>
      <c r="J19" s="42"/>
      <c r="K19" s="132"/>
      <c r="L19" s="132"/>
      <c r="M19" s="132"/>
      <c r="N19" s="132"/>
      <c r="O19" s="133"/>
    </row>
    <row r="20" spans="1:15" s="27" customFormat="1" ht="25.5">
      <c r="A20" s="77" t="s">
        <v>496</v>
      </c>
      <c r="B20" s="10" t="s">
        <v>155</v>
      </c>
      <c r="C20" s="79" t="s">
        <v>664</v>
      </c>
      <c r="D20" s="70">
        <f>15*1.2/100</f>
        <v>0.18</v>
      </c>
      <c r="E20" s="203"/>
      <c r="F20" s="21"/>
      <c r="G20" s="185"/>
      <c r="H20" s="183"/>
      <c r="I20" s="203"/>
      <c r="J20" s="21"/>
      <c r="K20" s="202"/>
      <c r="L20" s="21"/>
      <c r="M20" s="21"/>
      <c r="N20" s="21"/>
      <c r="O20" s="36"/>
    </row>
    <row r="21" spans="1:15" s="27" customFormat="1" ht="25.5">
      <c r="A21" s="77" t="s">
        <v>497</v>
      </c>
      <c r="B21" s="4" t="s">
        <v>161</v>
      </c>
      <c r="C21" s="22" t="s">
        <v>48</v>
      </c>
      <c r="D21" s="70">
        <f>3*1.2</f>
        <v>3.5999999999999996</v>
      </c>
      <c r="E21" s="197"/>
      <c r="F21" s="21"/>
      <c r="G21" s="185"/>
      <c r="H21" s="183"/>
      <c r="I21" s="21"/>
      <c r="J21" s="21"/>
      <c r="K21" s="202"/>
      <c r="L21" s="21"/>
      <c r="M21" s="21"/>
      <c r="N21" s="21"/>
      <c r="O21" s="21"/>
    </row>
    <row r="22" spans="1:15" s="27" customFormat="1" ht="39" thickBot="1">
      <c r="A22" s="77" t="s">
        <v>498</v>
      </c>
      <c r="B22" s="4" t="s">
        <v>162</v>
      </c>
      <c r="C22" s="22" t="s">
        <v>48</v>
      </c>
      <c r="D22" s="70">
        <f>D21</f>
        <v>3.5999999999999996</v>
      </c>
      <c r="E22" s="203"/>
      <c r="F22" s="21"/>
      <c r="G22" s="183"/>
      <c r="H22" s="183"/>
      <c r="I22" s="203"/>
      <c r="J22" s="21"/>
      <c r="K22" s="21"/>
      <c r="L22" s="21"/>
      <c r="M22" s="21"/>
      <c r="N22" s="21"/>
      <c r="O22" s="21"/>
    </row>
    <row r="23" spans="1:15" ht="62.25" customHeight="1" thickBot="1">
      <c r="A23" s="312" t="s">
        <v>104</v>
      </c>
      <c r="B23" s="313"/>
      <c r="C23" s="313"/>
      <c r="D23" s="319"/>
      <c r="E23" s="16"/>
      <c r="F23" s="70"/>
      <c r="G23" s="16"/>
      <c r="H23" s="16"/>
      <c r="I23" s="16"/>
      <c r="J23" s="21"/>
      <c r="K23" s="21"/>
      <c r="L23" s="132"/>
      <c r="M23" s="132"/>
      <c r="N23" s="132"/>
      <c r="O23" s="133"/>
    </row>
    <row r="24" spans="1:15" s="6" customFormat="1" ht="12.75">
      <c r="A24" s="77" t="s">
        <v>499</v>
      </c>
      <c r="B24" s="82" t="s">
        <v>11</v>
      </c>
      <c r="C24" s="83" t="s">
        <v>41</v>
      </c>
      <c r="D24" s="125">
        <v>1</v>
      </c>
      <c r="E24" s="42"/>
      <c r="F24" s="192"/>
      <c r="G24" s="185"/>
      <c r="H24" s="194"/>
      <c r="I24" s="183"/>
      <c r="J24" s="42"/>
      <c r="K24" s="202"/>
      <c r="L24" s="21"/>
      <c r="M24" s="21"/>
      <c r="N24" s="21"/>
      <c r="O24" s="21"/>
    </row>
    <row r="25" spans="1:15" s="27" customFormat="1" ht="12.75">
      <c r="A25" s="77" t="s">
        <v>500</v>
      </c>
      <c r="B25" s="82" t="s">
        <v>66</v>
      </c>
      <c r="C25" s="83" t="s">
        <v>41</v>
      </c>
      <c r="D25" s="125">
        <v>3</v>
      </c>
      <c r="E25" s="42"/>
      <c r="F25" s="192"/>
      <c r="G25" s="185"/>
      <c r="H25" s="194"/>
      <c r="I25" s="183"/>
      <c r="J25" s="42"/>
      <c r="K25" s="202"/>
      <c r="L25" s="21"/>
      <c r="M25" s="21"/>
      <c r="N25" s="21"/>
      <c r="O25" s="21"/>
    </row>
    <row r="26" spans="1:15" s="27" customFormat="1" ht="12.75">
      <c r="A26" s="77" t="s">
        <v>501</v>
      </c>
      <c r="B26" s="82" t="s">
        <v>14</v>
      </c>
      <c r="C26" s="83" t="s">
        <v>41</v>
      </c>
      <c r="D26" s="125">
        <v>10</v>
      </c>
      <c r="E26" s="42"/>
      <c r="F26" s="192"/>
      <c r="G26" s="185"/>
      <c r="H26" s="194"/>
      <c r="I26" s="183"/>
      <c r="J26" s="42"/>
      <c r="K26" s="202"/>
      <c r="L26" s="21"/>
      <c r="M26" s="21"/>
      <c r="N26" s="21"/>
      <c r="O26" s="21"/>
    </row>
    <row r="27" spans="1:15" s="27" customFormat="1" ht="13.5" thickBot="1">
      <c r="A27" s="77" t="s">
        <v>502</v>
      </c>
      <c r="B27" s="85" t="s">
        <v>69</v>
      </c>
      <c r="C27" s="25" t="s">
        <v>16</v>
      </c>
      <c r="D27" s="125">
        <v>7</v>
      </c>
      <c r="E27" s="184"/>
      <c r="F27" s="20"/>
      <c r="G27" s="185"/>
      <c r="H27" s="184"/>
      <c r="I27" s="21"/>
      <c r="J27" s="20"/>
      <c r="K27" s="20"/>
      <c r="L27" s="20"/>
      <c r="M27" s="20"/>
      <c r="N27" s="20"/>
      <c r="O27" s="20"/>
    </row>
    <row r="28" spans="1:15" ht="48.75" customHeight="1" thickBot="1">
      <c r="A28" s="312" t="s">
        <v>160</v>
      </c>
      <c r="B28" s="313"/>
      <c r="C28" s="313"/>
      <c r="D28" s="319"/>
      <c r="E28" s="86"/>
      <c r="F28" s="70"/>
      <c r="G28" s="16"/>
      <c r="H28" s="16"/>
      <c r="I28" s="16"/>
      <c r="J28" s="21"/>
      <c r="K28" s="132"/>
      <c r="L28" s="132"/>
      <c r="M28" s="132"/>
      <c r="N28" s="132"/>
      <c r="O28" s="133"/>
    </row>
    <row r="29" spans="1:15" s="27" customFormat="1" ht="16.5" customHeight="1">
      <c r="A29" s="77" t="s">
        <v>503</v>
      </c>
      <c r="B29" s="80" t="s">
        <v>199</v>
      </c>
      <c r="C29" s="70" t="s">
        <v>33</v>
      </c>
      <c r="D29" s="70">
        <v>185.4</v>
      </c>
      <c r="E29" s="185"/>
      <c r="F29" s="21"/>
      <c r="G29" s="21"/>
      <c r="H29" s="183"/>
      <c r="I29" s="183"/>
      <c r="J29" s="21"/>
      <c r="K29" s="21"/>
      <c r="L29" s="21"/>
      <c r="M29" s="21"/>
      <c r="N29" s="21"/>
      <c r="O29" s="36"/>
    </row>
    <row r="30" spans="1:15" s="27" customFormat="1" ht="26.25" thickBot="1">
      <c r="A30" s="77" t="s">
        <v>504</v>
      </c>
      <c r="B30" s="81" t="s">
        <v>151</v>
      </c>
      <c r="C30" s="70" t="s">
        <v>33</v>
      </c>
      <c r="D30" s="70">
        <f>ROUND(35.7-13*0.6,0)</f>
        <v>28</v>
      </c>
      <c r="E30" s="185"/>
      <c r="F30" s="21"/>
      <c r="G30" s="21"/>
      <c r="H30" s="185"/>
      <c r="I30" s="21"/>
      <c r="J30" s="21"/>
      <c r="K30" s="21"/>
      <c r="L30" s="21"/>
      <c r="M30" s="21"/>
      <c r="N30" s="21"/>
      <c r="O30" s="36"/>
    </row>
    <row r="31" spans="1:15" ht="14.25" customHeight="1" thickBot="1">
      <c r="A31" s="312" t="s">
        <v>103</v>
      </c>
      <c r="B31" s="313"/>
      <c r="C31" s="313"/>
      <c r="D31" s="319"/>
      <c r="E31" s="87"/>
      <c r="F31" s="70"/>
      <c r="G31" s="16"/>
      <c r="H31" s="16"/>
      <c r="I31" s="16"/>
      <c r="J31" s="21"/>
      <c r="K31" s="21"/>
      <c r="L31" s="21"/>
      <c r="M31" s="21"/>
      <c r="N31" s="21"/>
      <c r="O31" s="36"/>
    </row>
    <row r="32" spans="1:15" ht="13.5" thickBot="1">
      <c r="A32" s="77" t="s">
        <v>505</v>
      </c>
      <c r="B32" s="81" t="s">
        <v>99</v>
      </c>
      <c r="C32" s="70" t="s">
        <v>100</v>
      </c>
      <c r="D32" s="70">
        <v>15</v>
      </c>
      <c r="E32" s="185"/>
      <c r="F32" s="21"/>
      <c r="G32" s="185"/>
      <c r="H32" s="185"/>
      <c r="I32" s="21"/>
      <c r="J32" s="21"/>
      <c r="K32" s="21"/>
      <c r="L32" s="21"/>
      <c r="M32" s="21"/>
      <c r="N32" s="21"/>
      <c r="O32" s="21"/>
    </row>
    <row r="33" spans="1:15" ht="35.25" customHeight="1" thickBot="1">
      <c r="A33" s="312" t="s">
        <v>102</v>
      </c>
      <c r="B33" s="313"/>
      <c r="C33" s="313"/>
      <c r="D33" s="319"/>
      <c r="E33" s="87"/>
      <c r="F33" s="70"/>
      <c r="G33" s="16"/>
      <c r="H33" s="16"/>
      <c r="I33" s="16"/>
      <c r="J33" s="21"/>
      <c r="K33" s="21"/>
      <c r="L33" s="21"/>
      <c r="M33" s="21"/>
      <c r="N33" s="21"/>
      <c r="O33" s="36"/>
    </row>
    <row r="34" spans="1:15" s="26" customFormat="1" ht="38.25">
      <c r="A34" s="77" t="s">
        <v>506</v>
      </c>
      <c r="B34" s="4" t="s">
        <v>187</v>
      </c>
      <c r="C34" s="79" t="s">
        <v>44</v>
      </c>
      <c r="D34" s="70">
        <f>ROUND(D29*1.2*1.75+D30*1.2*1.75-D42-D50-D68-D69-D71-D72-D81-D82-D84-D76-D77,1)</f>
        <v>252.3</v>
      </c>
      <c r="E34" s="183"/>
      <c r="F34" s="21"/>
      <c r="G34" s="185"/>
      <c r="H34" s="183"/>
      <c r="I34" s="21"/>
      <c r="J34" s="21"/>
      <c r="K34" s="202"/>
      <c r="L34" s="21"/>
      <c r="M34" s="21"/>
      <c r="N34" s="21"/>
      <c r="O34" s="21"/>
    </row>
    <row r="35" spans="1:15" s="26" customFormat="1" ht="38.25">
      <c r="A35" s="77" t="s">
        <v>507</v>
      </c>
      <c r="B35" s="85" t="s">
        <v>109</v>
      </c>
      <c r="C35" s="88" t="s">
        <v>44</v>
      </c>
      <c r="D35" s="25">
        <f>ROUND(D34*0.1,0)</f>
        <v>25</v>
      </c>
      <c r="E35" s="185"/>
      <c r="F35" s="21"/>
      <c r="G35" s="185"/>
      <c r="H35" s="185"/>
      <c r="I35" s="185"/>
      <c r="J35" s="21"/>
      <c r="K35" s="202"/>
      <c r="L35" s="21"/>
      <c r="M35" s="21"/>
      <c r="N35" s="21"/>
      <c r="O35" s="21"/>
    </row>
    <row r="36" spans="1:15" s="26" customFormat="1" ht="12.75">
      <c r="A36" s="77" t="s">
        <v>508</v>
      </c>
      <c r="B36" s="7" t="s">
        <v>188</v>
      </c>
      <c r="C36" s="88" t="s">
        <v>44</v>
      </c>
      <c r="D36" s="25">
        <f>D35</f>
        <v>25</v>
      </c>
      <c r="E36" s="184"/>
      <c r="F36" s="20"/>
      <c r="G36" s="184"/>
      <c r="H36" s="184"/>
      <c r="I36" s="21"/>
      <c r="J36" s="20"/>
      <c r="K36" s="20"/>
      <c r="L36" s="20"/>
      <c r="M36" s="20"/>
      <c r="N36" s="20"/>
      <c r="O36" s="20"/>
    </row>
    <row r="37" spans="1:15" s="28" customFormat="1" ht="26.25" thickBot="1">
      <c r="A37" s="77" t="s">
        <v>509</v>
      </c>
      <c r="B37" s="81" t="s">
        <v>110</v>
      </c>
      <c r="C37" s="79" t="s">
        <v>44</v>
      </c>
      <c r="D37" s="70">
        <f>D42+D50+D36+D68+D69+D71+D72+D76+D77+D81+D82</f>
        <v>218.18000000000004</v>
      </c>
      <c r="E37" s="185"/>
      <c r="F37" s="21"/>
      <c r="G37" s="185"/>
      <c r="H37" s="185"/>
      <c r="I37" s="185"/>
      <c r="J37" s="21"/>
      <c r="K37" s="202"/>
      <c r="L37" s="21"/>
      <c r="M37" s="21"/>
      <c r="N37" s="21"/>
      <c r="O37" s="21"/>
    </row>
    <row r="38" spans="1:15" s="28" customFormat="1" ht="16.5" thickBot="1">
      <c r="A38" s="314" t="s">
        <v>166</v>
      </c>
      <c r="B38" s="315"/>
      <c r="C38" s="315"/>
      <c r="D38" s="315"/>
      <c r="E38" s="86"/>
      <c r="F38" s="70"/>
      <c r="G38" s="16"/>
      <c r="H38" s="16"/>
      <c r="I38" s="70"/>
      <c r="J38" s="21"/>
      <c r="K38" s="21"/>
      <c r="L38" s="21"/>
      <c r="M38" s="21"/>
      <c r="N38" s="21"/>
      <c r="O38" s="36"/>
    </row>
    <row r="39" spans="1:15" s="28" customFormat="1" ht="14.25" customHeight="1" thickBot="1">
      <c r="A39" s="312" t="s">
        <v>174</v>
      </c>
      <c r="B39" s="313"/>
      <c r="C39" s="313"/>
      <c r="D39" s="313"/>
      <c r="E39" s="86"/>
      <c r="F39" s="70"/>
      <c r="G39" s="16"/>
      <c r="H39" s="16"/>
      <c r="I39" s="70"/>
      <c r="J39" s="21"/>
      <c r="K39" s="21"/>
      <c r="L39" s="21"/>
      <c r="M39" s="21"/>
      <c r="N39" s="21"/>
      <c r="O39" s="36"/>
    </row>
    <row r="40" spans="1:15" s="28" customFormat="1" ht="12.75">
      <c r="A40" s="75" t="s">
        <v>510</v>
      </c>
      <c r="B40" s="78" t="s">
        <v>168</v>
      </c>
      <c r="C40" s="70" t="s">
        <v>33</v>
      </c>
      <c r="D40" s="70">
        <f>D45</f>
        <v>185.4</v>
      </c>
      <c r="E40" s="183"/>
      <c r="F40" s="21"/>
      <c r="G40" s="185"/>
      <c r="H40" s="195"/>
      <c r="I40" s="21"/>
      <c r="J40" s="21"/>
      <c r="K40" s="202"/>
      <c r="L40" s="21"/>
      <c r="M40" s="21"/>
      <c r="N40" s="21"/>
      <c r="O40" s="21"/>
    </row>
    <row r="41" spans="1:15" s="28" customFormat="1" ht="25.5">
      <c r="A41" s="75" t="s">
        <v>511</v>
      </c>
      <c r="B41" s="81" t="s">
        <v>687</v>
      </c>
      <c r="C41" s="70" t="s">
        <v>79</v>
      </c>
      <c r="D41" s="70">
        <f>ROUND((D44*0.41+D45*0.65),1)</f>
        <v>135.3</v>
      </c>
      <c r="E41" s="185"/>
      <c r="F41" s="21"/>
      <c r="G41" s="185"/>
      <c r="H41" s="185"/>
      <c r="I41" s="185"/>
      <c r="J41" s="21"/>
      <c r="K41" s="202"/>
      <c r="L41" s="21"/>
      <c r="M41" s="21"/>
      <c r="N41" s="21"/>
      <c r="O41" s="21"/>
    </row>
    <row r="42" spans="1:15" s="28" customFormat="1" ht="25.5">
      <c r="A42" s="75" t="s">
        <v>512</v>
      </c>
      <c r="B42" s="85" t="s">
        <v>688</v>
      </c>
      <c r="C42" s="25" t="s">
        <v>12</v>
      </c>
      <c r="D42" s="70">
        <f>ROUND((D44*0.0615+D45*0.065),1)</f>
        <v>14.3</v>
      </c>
      <c r="E42" s="184"/>
      <c r="F42" s="20"/>
      <c r="G42" s="184"/>
      <c r="H42" s="184"/>
      <c r="I42" s="21"/>
      <c r="J42" s="20"/>
      <c r="K42" s="20"/>
      <c r="L42" s="20"/>
      <c r="M42" s="20"/>
      <c r="N42" s="20"/>
      <c r="O42" s="20"/>
    </row>
    <row r="43" spans="1:15" s="28" customFormat="1" ht="12.75">
      <c r="A43" s="75" t="s">
        <v>513</v>
      </c>
      <c r="B43" s="89" t="s">
        <v>15</v>
      </c>
      <c r="C43" s="70" t="s">
        <v>33</v>
      </c>
      <c r="D43" s="70">
        <f>SUM(D44:D45)</f>
        <v>221.4</v>
      </c>
      <c r="E43" s="185"/>
      <c r="F43" s="21"/>
      <c r="G43" s="185"/>
      <c r="H43" s="185"/>
      <c r="I43" s="185"/>
      <c r="J43" s="21"/>
      <c r="K43" s="202"/>
      <c r="L43" s="21"/>
      <c r="M43" s="21"/>
      <c r="N43" s="21"/>
      <c r="O43" s="21"/>
    </row>
    <row r="44" spans="1:15" s="28" customFormat="1" ht="12.75">
      <c r="A44" s="75" t="s">
        <v>514</v>
      </c>
      <c r="B44" s="90" t="s">
        <v>170</v>
      </c>
      <c r="C44" s="25" t="s">
        <v>33</v>
      </c>
      <c r="D44" s="70">
        <v>36</v>
      </c>
      <c r="E44" s="184"/>
      <c r="F44" s="20"/>
      <c r="G44" s="184"/>
      <c r="H44" s="184"/>
      <c r="I44" s="21"/>
      <c r="J44" s="20"/>
      <c r="K44" s="20"/>
      <c r="L44" s="20"/>
      <c r="M44" s="20"/>
      <c r="N44" s="20"/>
      <c r="O44" s="20"/>
    </row>
    <row r="45" spans="1:15" s="28" customFormat="1" ht="12.75">
      <c r="A45" s="75" t="s">
        <v>515</v>
      </c>
      <c r="B45" s="90" t="s">
        <v>169</v>
      </c>
      <c r="C45" s="25" t="s">
        <v>33</v>
      </c>
      <c r="D45" s="70">
        <v>185.4</v>
      </c>
      <c r="E45" s="184"/>
      <c r="F45" s="20"/>
      <c r="G45" s="184"/>
      <c r="H45" s="184"/>
      <c r="I45" s="21"/>
      <c r="J45" s="20"/>
      <c r="K45" s="20"/>
      <c r="L45" s="20"/>
      <c r="M45" s="20"/>
      <c r="N45" s="20"/>
      <c r="O45" s="20"/>
    </row>
    <row r="46" spans="1:15" s="28" customFormat="1" ht="38.25">
      <c r="A46" s="75" t="s">
        <v>516</v>
      </c>
      <c r="B46" s="85" t="s">
        <v>691</v>
      </c>
      <c r="C46" s="88" t="s">
        <v>42</v>
      </c>
      <c r="D46" s="105">
        <f>D45</f>
        <v>185.4</v>
      </c>
      <c r="E46" s="184"/>
      <c r="F46" s="20"/>
      <c r="G46" s="184"/>
      <c r="H46" s="184"/>
      <c r="I46" s="21"/>
      <c r="J46" s="20"/>
      <c r="K46" s="20"/>
      <c r="L46" s="20"/>
      <c r="M46" s="20"/>
      <c r="N46" s="20"/>
      <c r="O46" s="20"/>
    </row>
    <row r="47" spans="1:15" s="28" customFormat="1" ht="45.75" customHeight="1">
      <c r="A47" s="75" t="s">
        <v>517</v>
      </c>
      <c r="B47" s="4" t="s">
        <v>193</v>
      </c>
      <c r="C47" s="70" t="s">
        <v>16</v>
      </c>
      <c r="D47" s="70">
        <f>13</f>
        <v>13</v>
      </c>
      <c r="E47" s="185"/>
      <c r="F47" s="21"/>
      <c r="G47" s="185"/>
      <c r="H47" s="183"/>
      <c r="I47" s="21"/>
      <c r="J47" s="21"/>
      <c r="K47" s="202"/>
      <c r="L47" s="21"/>
      <c r="M47" s="21"/>
      <c r="N47" s="21"/>
      <c r="O47" s="21"/>
    </row>
    <row r="48" spans="1:15" s="28" customFormat="1" ht="51">
      <c r="A48" s="75" t="s">
        <v>518</v>
      </c>
      <c r="B48" s="7" t="s">
        <v>213</v>
      </c>
      <c r="C48" s="9" t="s">
        <v>32</v>
      </c>
      <c r="D48" s="70">
        <f>D47</f>
        <v>13</v>
      </c>
      <c r="E48" s="184"/>
      <c r="F48" s="20"/>
      <c r="G48" s="184"/>
      <c r="H48" s="184"/>
      <c r="I48" s="21"/>
      <c r="J48" s="20"/>
      <c r="K48" s="20"/>
      <c r="L48" s="20"/>
      <c r="M48" s="20"/>
      <c r="N48" s="20"/>
      <c r="O48" s="20"/>
    </row>
    <row r="49" spans="1:15" s="28" customFormat="1" ht="25.5">
      <c r="A49" s="75" t="s">
        <v>519</v>
      </c>
      <c r="B49" s="81" t="s">
        <v>690</v>
      </c>
      <c r="C49" s="70" t="s">
        <v>42</v>
      </c>
      <c r="D49" s="70">
        <f>D41</f>
        <v>135.3</v>
      </c>
      <c r="E49" s="185"/>
      <c r="F49" s="21"/>
      <c r="G49" s="185"/>
      <c r="H49" s="185"/>
      <c r="I49" s="185"/>
      <c r="J49" s="21"/>
      <c r="K49" s="202"/>
      <c r="L49" s="21"/>
      <c r="M49" s="21"/>
      <c r="N49" s="21"/>
      <c r="O49" s="21"/>
    </row>
    <row r="50" spans="1:15" s="28" customFormat="1" ht="25.5">
      <c r="A50" s="75" t="s">
        <v>520</v>
      </c>
      <c r="B50" s="85" t="s">
        <v>689</v>
      </c>
      <c r="C50" s="88" t="s">
        <v>12</v>
      </c>
      <c r="D50" s="105">
        <f>ROUND((D44*0.12+D45*0.2434),1)</f>
        <v>49.4</v>
      </c>
      <c r="E50" s="196"/>
      <c r="F50" s="20"/>
      <c r="G50" s="196"/>
      <c r="H50" s="196"/>
      <c r="I50" s="196"/>
      <c r="J50" s="20"/>
      <c r="K50" s="20"/>
      <c r="L50" s="20"/>
      <c r="M50" s="20"/>
      <c r="N50" s="20"/>
      <c r="O50" s="38"/>
    </row>
    <row r="51" spans="1:15" s="28" customFormat="1" ht="41.25" customHeight="1">
      <c r="A51" s="75" t="s">
        <v>521</v>
      </c>
      <c r="B51" s="81" t="s">
        <v>205</v>
      </c>
      <c r="C51" s="25" t="s">
        <v>32</v>
      </c>
      <c r="D51" s="70">
        <v>1</v>
      </c>
      <c r="E51" s="185"/>
      <c r="F51" s="21"/>
      <c r="G51" s="185"/>
      <c r="H51" s="185"/>
      <c r="I51" s="21"/>
      <c r="J51" s="21"/>
      <c r="K51" s="202"/>
      <c r="L51" s="21"/>
      <c r="M51" s="21"/>
      <c r="N51" s="21"/>
      <c r="O51" s="36"/>
    </row>
    <row r="52" spans="1:15" s="28" customFormat="1" ht="12.75">
      <c r="A52" s="75" t="s">
        <v>522</v>
      </c>
      <c r="B52" s="89" t="s">
        <v>86</v>
      </c>
      <c r="C52" s="70" t="s">
        <v>33</v>
      </c>
      <c r="D52" s="70">
        <f>D40</f>
        <v>185.4</v>
      </c>
      <c r="E52" s="183"/>
      <c r="F52" s="21"/>
      <c r="G52" s="185"/>
      <c r="H52" s="183"/>
      <c r="I52" s="21"/>
      <c r="J52" s="21"/>
      <c r="K52" s="202"/>
      <c r="L52" s="21"/>
      <c r="M52" s="21"/>
      <c r="N52" s="21"/>
      <c r="O52" s="36"/>
    </row>
    <row r="53" spans="1:15" s="28" customFormat="1" ht="12.75">
      <c r="A53" s="75" t="s">
        <v>523</v>
      </c>
      <c r="B53" s="90" t="s">
        <v>17</v>
      </c>
      <c r="C53" s="25" t="s">
        <v>33</v>
      </c>
      <c r="D53" s="70">
        <f>D52</f>
        <v>185.4</v>
      </c>
      <c r="E53" s="196"/>
      <c r="F53" s="20"/>
      <c r="G53" s="196"/>
      <c r="H53" s="196"/>
      <c r="I53" s="21"/>
      <c r="J53" s="20"/>
      <c r="K53" s="20"/>
      <c r="L53" s="20"/>
      <c r="M53" s="20"/>
      <c r="N53" s="20"/>
      <c r="O53" s="38"/>
    </row>
    <row r="54" spans="1:15" s="240" customFormat="1" ht="12.75">
      <c r="A54" s="75" t="s">
        <v>524</v>
      </c>
      <c r="B54" s="78" t="s">
        <v>739</v>
      </c>
      <c r="C54" s="79" t="s">
        <v>16</v>
      </c>
      <c r="D54" s="70">
        <v>1</v>
      </c>
      <c r="E54" s="245"/>
      <c r="F54" s="21"/>
      <c r="G54" s="185"/>
      <c r="H54" s="185"/>
      <c r="I54" s="185"/>
      <c r="J54" s="193"/>
      <c r="K54" s="202"/>
      <c r="L54" s="21"/>
      <c r="M54" s="21"/>
      <c r="N54" s="21"/>
      <c r="O54" s="21"/>
    </row>
    <row r="55" spans="1:15" s="240" customFormat="1" ht="12.75">
      <c r="A55" s="75" t="s">
        <v>525</v>
      </c>
      <c r="B55" s="241" t="s">
        <v>740</v>
      </c>
      <c r="C55" s="242" t="s">
        <v>16</v>
      </c>
      <c r="D55" s="243">
        <v>1</v>
      </c>
      <c r="E55" s="184"/>
      <c r="F55" s="20"/>
      <c r="G55" s="184"/>
      <c r="H55" s="184"/>
      <c r="I55" s="185"/>
      <c r="J55" s="20"/>
      <c r="K55" s="20"/>
      <c r="L55" s="20"/>
      <c r="M55" s="20"/>
      <c r="N55" s="20"/>
      <c r="O55" s="20"/>
    </row>
    <row r="56" spans="1:15" s="240" customFormat="1" ht="39" thickBot="1">
      <c r="A56" s="75" t="s">
        <v>526</v>
      </c>
      <c r="B56" s="78" t="s">
        <v>750</v>
      </c>
      <c r="C56" s="79" t="s">
        <v>33</v>
      </c>
      <c r="D56" s="70">
        <v>36</v>
      </c>
      <c r="E56" s="245"/>
      <c r="F56" s="21"/>
      <c r="G56" s="185"/>
      <c r="H56" s="185"/>
      <c r="I56" s="185"/>
      <c r="J56" s="193"/>
      <c r="K56" s="202"/>
      <c r="L56" s="21"/>
      <c r="M56" s="21"/>
      <c r="N56" s="21"/>
      <c r="O56" s="21"/>
    </row>
    <row r="57" spans="1:15" s="28" customFormat="1" ht="14.25" customHeight="1" thickBot="1">
      <c r="A57" s="312" t="s">
        <v>202</v>
      </c>
      <c r="B57" s="313"/>
      <c r="C57" s="313"/>
      <c r="D57" s="313"/>
      <c r="E57" s="86"/>
      <c r="F57" s="70"/>
      <c r="G57" s="16"/>
      <c r="H57" s="16"/>
      <c r="I57" s="70"/>
      <c r="J57" s="21"/>
      <c r="K57" s="21"/>
      <c r="L57" s="21"/>
      <c r="M57" s="21"/>
      <c r="N57" s="21"/>
      <c r="O57" s="36"/>
    </row>
    <row r="58" spans="1:15" s="28" customFormat="1" ht="38.25">
      <c r="A58" s="75" t="s">
        <v>527</v>
      </c>
      <c r="B58" s="81" t="s">
        <v>196</v>
      </c>
      <c r="C58" s="70" t="s">
        <v>16</v>
      </c>
      <c r="D58" s="70">
        <f>SUM(D59:D62)</f>
        <v>7</v>
      </c>
      <c r="E58" s="185"/>
      <c r="F58" s="21"/>
      <c r="G58" s="185"/>
      <c r="H58" s="185"/>
      <c r="I58" s="21"/>
      <c r="J58" s="21"/>
      <c r="K58" s="202"/>
      <c r="L58" s="21"/>
      <c r="M58" s="21"/>
      <c r="N58" s="21"/>
      <c r="O58" s="36"/>
    </row>
    <row r="59" spans="1:15" s="28" customFormat="1" ht="25.5">
      <c r="A59" s="75" t="s">
        <v>528</v>
      </c>
      <c r="B59" s="93" t="s">
        <v>675</v>
      </c>
      <c r="C59" s="25" t="s">
        <v>32</v>
      </c>
      <c r="D59" s="25">
        <v>3</v>
      </c>
      <c r="E59" s="184"/>
      <c r="F59" s="20"/>
      <c r="G59" s="184"/>
      <c r="H59" s="97"/>
      <c r="I59" s="21"/>
      <c r="J59" s="20"/>
      <c r="K59" s="20"/>
      <c r="L59" s="20"/>
      <c r="M59" s="20"/>
      <c r="N59" s="20"/>
      <c r="O59" s="20"/>
    </row>
    <row r="60" spans="1:15" s="28" customFormat="1" ht="25.5">
      <c r="A60" s="75" t="s">
        <v>529</v>
      </c>
      <c r="B60" s="93" t="s">
        <v>208</v>
      </c>
      <c r="C60" s="25" t="s">
        <v>32</v>
      </c>
      <c r="D60" s="25">
        <v>1</v>
      </c>
      <c r="E60" s="184"/>
      <c r="F60" s="20"/>
      <c r="G60" s="184"/>
      <c r="H60" s="97"/>
      <c r="I60" s="21"/>
      <c r="J60" s="20"/>
      <c r="K60" s="20"/>
      <c r="L60" s="20"/>
      <c r="M60" s="20"/>
      <c r="N60" s="20"/>
      <c r="O60" s="20"/>
    </row>
    <row r="61" spans="1:15" s="28" customFormat="1" ht="25.5">
      <c r="A61" s="75" t="s">
        <v>530</v>
      </c>
      <c r="B61" s="93" t="s">
        <v>177</v>
      </c>
      <c r="C61" s="25" t="s">
        <v>32</v>
      </c>
      <c r="D61" s="25">
        <v>2</v>
      </c>
      <c r="E61" s="184"/>
      <c r="F61" s="20"/>
      <c r="G61" s="184"/>
      <c r="H61" s="97"/>
      <c r="I61" s="21"/>
      <c r="J61" s="20"/>
      <c r="K61" s="20"/>
      <c r="L61" s="20"/>
      <c r="M61" s="20"/>
      <c r="N61" s="20"/>
      <c r="O61" s="20"/>
    </row>
    <row r="62" spans="1:15" s="28" customFormat="1" ht="26.25" thickBot="1">
      <c r="A62" s="75" t="s">
        <v>531</v>
      </c>
      <c r="B62" s="93" t="s">
        <v>209</v>
      </c>
      <c r="C62" s="25" t="s">
        <v>32</v>
      </c>
      <c r="D62" s="25">
        <v>1</v>
      </c>
      <c r="E62" s="184"/>
      <c r="F62" s="20"/>
      <c r="G62" s="184"/>
      <c r="H62" s="97"/>
      <c r="I62" s="21"/>
      <c r="J62" s="20"/>
      <c r="K62" s="20"/>
      <c r="L62" s="20"/>
      <c r="M62" s="20"/>
      <c r="N62" s="20"/>
      <c r="O62" s="20"/>
    </row>
    <row r="63" spans="1:15" s="28" customFormat="1" ht="15.75" thickBot="1">
      <c r="A63" s="312" t="s">
        <v>149</v>
      </c>
      <c r="B63" s="313"/>
      <c r="C63" s="313"/>
      <c r="D63" s="313"/>
      <c r="E63" s="86"/>
      <c r="F63" s="70"/>
      <c r="G63" s="16"/>
      <c r="H63" s="16"/>
      <c r="I63" s="70"/>
      <c r="J63" s="21"/>
      <c r="K63" s="21"/>
      <c r="L63" s="21"/>
      <c r="M63" s="21"/>
      <c r="N63" s="21"/>
      <c r="O63" s="36"/>
    </row>
    <row r="64" spans="1:15" s="28" customFormat="1" ht="12.75">
      <c r="A64" s="77" t="s">
        <v>532</v>
      </c>
      <c r="B64" s="81" t="s">
        <v>203</v>
      </c>
      <c r="C64" s="70" t="s">
        <v>33</v>
      </c>
      <c r="D64" s="124">
        <f>D40</f>
        <v>185.4</v>
      </c>
      <c r="E64" s="185"/>
      <c r="F64" s="21"/>
      <c r="G64" s="185"/>
      <c r="H64" s="185"/>
      <c r="I64" s="21"/>
      <c r="J64" s="21"/>
      <c r="K64" s="202"/>
      <c r="L64" s="21"/>
      <c r="M64" s="21"/>
      <c r="N64" s="21"/>
      <c r="O64" s="36"/>
    </row>
    <row r="65" spans="1:15" s="28" customFormat="1" ht="26.25" thickBot="1">
      <c r="A65" s="77" t="s">
        <v>533</v>
      </c>
      <c r="B65" s="81" t="s">
        <v>4</v>
      </c>
      <c r="C65" s="70" t="s">
        <v>16</v>
      </c>
      <c r="D65" s="124">
        <v>1</v>
      </c>
      <c r="E65" s="87"/>
      <c r="F65" s="70"/>
      <c r="G65" s="16"/>
      <c r="H65" s="16"/>
      <c r="I65" s="21"/>
      <c r="J65" s="21"/>
      <c r="K65" s="202"/>
      <c r="L65" s="21"/>
      <c r="M65" s="21"/>
      <c r="N65" s="21"/>
      <c r="O65" s="36"/>
    </row>
    <row r="66" spans="1:15" ht="14.25" customHeight="1" thickBot="1">
      <c r="A66" s="332" t="s">
        <v>101</v>
      </c>
      <c r="B66" s="333"/>
      <c r="C66" s="333"/>
      <c r="D66" s="100"/>
      <c r="E66" s="87"/>
      <c r="F66" s="70"/>
      <c r="G66" s="16"/>
      <c r="H66" s="16"/>
      <c r="I66" s="16"/>
      <c r="J66" s="21"/>
      <c r="K66" s="132"/>
      <c r="L66" s="132"/>
      <c r="M66" s="132"/>
      <c r="N66" s="132"/>
      <c r="O66" s="133"/>
    </row>
    <row r="67" spans="1:15" s="6" customFormat="1" ht="18" customHeight="1">
      <c r="A67" s="77" t="s">
        <v>534</v>
      </c>
      <c r="B67" s="96" t="s">
        <v>81</v>
      </c>
      <c r="C67" s="75" t="s">
        <v>661</v>
      </c>
      <c r="D67" s="123">
        <f>55*1.2/100</f>
        <v>0.66</v>
      </c>
      <c r="E67" s="185"/>
      <c r="F67" s="21"/>
      <c r="G67" s="185"/>
      <c r="H67" s="185"/>
      <c r="I67" s="21"/>
      <c r="J67" s="21"/>
      <c r="K67" s="202"/>
      <c r="L67" s="21"/>
      <c r="M67" s="21"/>
      <c r="N67" s="21"/>
      <c r="O67" s="21"/>
    </row>
    <row r="68" spans="1:15" s="6" customFormat="1" ht="14.25">
      <c r="A68" s="77" t="s">
        <v>535</v>
      </c>
      <c r="B68" s="85" t="s">
        <v>88</v>
      </c>
      <c r="C68" s="25" t="s">
        <v>12</v>
      </c>
      <c r="D68" s="25">
        <f>ROUND((100*D67*0.28),1)</f>
        <v>18.5</v>
      </c>
      <c r="E68" s="21"/>
      <c r="F68" s="21"/>
      <c r="G68" s="21"/>
      <c r="H68" s="184"/>
      <c r="I68" s="21"/>
      <c r="J68" s="20"/>
      <c r="K68" s="20"/>
      <c r="L68" s="20"/>
      <c r="M68" s="20"/>
      <c r="N68" s="20"/>
      <c r="O68" s="20"/>
    </row>
    <row r="69" spans="1:15" s="6" customFormat="1" ht="25.5">
      <c r="A69" s="77" t="s">
        <v>536</v>
      </c>
      <c r="B69" s="117" t="s">
        <v>89</v>
      </c>
      <c r="C69" s="25" t="s">
        <v>12</v>
      </c>
      <c r="D69" s="25">
        <f>ROUND((100*D67*0.3),1)</f>
        <v>19.8</v>
      </c>
      <c r="E69" s="21"/>
      <c r="F69" s="21"/>
      <c r="G69" s="21"/>
      <c r="H69" s="184"/>
      <c r="I69" s="21"/>
      <c r="J69" s="20"/>
      <c r="K69" s="20"/>
      <c r="L69" s="20"/>
      <c r="M69" s="20"/>
      <c r="N69" s="20"/>
      <c r="O69" s="20"/>
    </row>
    <row r="70" spans="1:15" s="6" customFormat="1" ht="14.25">
      <c r="A70" s="77" t="s">
        <v>537</v>
      </c>
      <c r="B70" s="4" t="s">
        <v>84</v>
      </c>
      <c r="C70" s="18" t="s">
        <v>79</v>
      </c>
      <c r="D70" s="25">
        <f>ROUND(122.6*1.2,0)</f>
        <v>147</v>
      </c>
      <c r="E70" s="185"/>
      <c r="F70" s="21"/>
      <c r="G70" s="185"/>
      <c r="H70" s="185"/>
      <c r="I70" s="21"/>
      <c r="J70" s="21"/>
      <c r="K70" s="202"/>
      <c r="L70" s="21"/>
      <c r="M70" s="21"/>
      <c r="N70" s="21"/>
      <c r="O70" s="21"/>
    </row>
    <row r="71" spans="1:15" s="6" customFormat="1" ht="25.5">
      <c r="A71" s="77" t="s">
        <v>538</v>
      </c>
      <c r="B71" s="7" t="s">
        <v>77</v>
      </c>
      <c r="C71" s="13" t="s">
        <v>12</v>
      </c>
      <c r="D71" s="25">
        <f>ROUND(D70*0.3,0)</f>
        <v>44</v>
      </c>
      <c r="E71" s="21"/>
      <c r="F71" s="21"/>
      <c r="G71" s="21"/>
      <c r="H71" s="184"/>
      <c r="I71" s="21"/>
      <c r="J71" s="20"/>
      <c r="K71" s="20"/>
      <c r="L71" s="20"/>
      <c r="M71" s="20"/>
      <c r="N71" s="20"/>
      <c r="O71" s="20"/>
    </row>
    <row r="72" spans="1:15" s="6" customFormat="1" ht="14.25">
      <c r="A72" s="77" t="s">
        <v>539</v>
      </c>
      <c r="B72" s="7" t="s">
        <v>80</v>
      </c>
      <c r="C72" s="13" t="s">
        <v>12</v>
      </c>
      <c r="D72" s="25">
        <f>D70*0.2</f>
        <v>29.400000000000002</v>
      </c>
      <c r="E72" s="187"/>
      <c r="F72" s="35"/>
      <c r="G72" s="35"/>
      <c r="H72" s="187"/>
      <c r="I72" s="21"/>
      <c r="J72" s="20"/>
      <c r="K72" s="20"/>
      <c r="L72" s="20"/>
      <c r="M72" s="20"/>
      <c r="N72" s="20"/>
      <c r="O72" s="20"/>
    </row>
    <row r="73" spans="1:15" s="6" customFormat="1" ht="25.5">
      <c r="A73" s="77" t="s">
        <v>540</v>
      </c>
      <c r="B73" s="4" t="s">
        <v>78</v>
      </c>
      <c r="C73" s="9" t="s">
        <v>79</v>
      </c>
      <c r="D73" s="25">
        <f>ROUND(29.4*1.2,0)</f>
        <v>35</v>
      </c>
      <c r="E73" s="185"/>
      <c r="F73" s="21"/>
      <c r="G73" s="185"/>
      <c r="H73" s="185"/>
      <c r="I73" s="185"/>
      <c r="J73" s="21"/>
      <c r="K73" s="202"/>
      <c r="L73" s="21"/>
      <c r="M73" s="21"/>
      <c r="N73" s="21"/>
      <c r="O73" s="21"/>
    </row>
    <row r="74" spans="1:15" s="6" customFormat="1" ht="14.25">
      <c r="A74" s="77" t="s">
        <v>541</v>
      </c>
      <c r="B74" s="7" t="s">
        <v>156</v>
      </c>
      <c r="C74" s="13" t="s">
        <v>157</v>
      </c>
      <c r="D74" s="25">
        <f>D73*0.2</f>
        <v>7</v>
      </c>
      <c r="E74" s="196"/>
      <c r="F74" s="20"/>
      <c r="G74" s="20"/>
      <c r="H74" s="196"/>
      <c r="I74" s="20"/>
      <c r="J74" s="20"/>
      <c r="K74" s="20"/>
      <c r="L74" s="20"/>
      <c r="M74" s="20"/>
      <c r="N74" s="20"/>
      <c r="O74" s="20"/>
    </row>
    <row r="75" spans="1:15" s="6" customFormat="1" ht="14.25">
      <c r="A75" s="77" t="s">
        <v>542</v>
      </c>
      <c r="B75" s="7" t="s">
        <v>75</v>
      </c>
      <c r="C75" s="13" t="s">
        <v>12</v>
      </c>
      <c r="D75" s="25">
        <f>ROUND(D73*0.05,1)</f>
        <v>1.8</v>
      </c>
      <c r="E75" s="196"/>
      <c r="F75" s="20"/>
      <c r="G75" s="20"/>
      <c r="H75" s="196"/>
      <c r="I75" s="20"/>
      <c r="J75" s="20"/>
      <c r="K75" s="20"/>
      <c r="L75" s="20"/>
      <c r="M75" s="20"/>
      <c r="N75" s="20"/>
      <c r="O75" s="20"/>
    </row>
    <row r="76" spans="1:15" s="6" customFormat="1" ht="14.25">
      <c r="A76" s="77" t="s">
        <v>543</v>
      </c>
      <c r="B76" s="7" t="s">
        <v>76</v>
      </c>
      <c r="C76" s="13" t="s">
        <v>12</v>
      </c>
      <c r="D76" s="25">
        <f>ROUND(D73*0.15,1)</f>
        <v>5.3</v>
      </c>
      <c r="E76" s="196"/>
      <c r="F76" s="20"/>
      <c r="G76" s="20"/>
      <c r="H76" s="196"/>
      <c r="I76" s="20"/>
      <c r="J76" s="20"/>
      <c r="K76" s="20"/>
      <c r="L76" s="20"/>
      <c r="M76" s="20"/>
      <c r="N76" s="20"/>
      <c r="O76" s="20"/>
    </row>
    <row r="77" spans="1:15" s="6" customFormat="1" ht="25.5">
      <c r="A77" s="77" t="s">
        <v>544</v>
      </c>
      <c r="B77" s="116" t="s">
        <v>77</v>
      </c>
      <c r="C77" s="13" t="s">
        <v>12</v>
      </c>
      <c r="D77" s="25">
        <f>D73*0.3</f>
        <v>10.5</v>
      </c>
      <c r="E77" s="196"/>
      <c r="F77" s="20"/>
      <c r="G77" s="20"/>
      <c r="H77" s="196"/>
      <c r="I77" s="20"/>
      <c r="J77" s="20"/>
      <c r="K77" s="20"/>
      <c r="L77" s="20"/>
      <c r="M77" s="20"/>
      <c r="N77" s="20"/>
      <c r="O77" s="20"/>
    </row>
    <row r="78" spans="1:15" s="6" customFormat="1" ht="14.25">
      <c r="A78" s="77" t="s">
        <v>545</v>
      </c>
      <c r="B78" s="4" t="s">
        <v>83</v>
      </c>
      <c r="C78" s="18" t="s">
        <v>79</v>
      </c>
      <c r="D78" s="25">
        <f>D21</f>
        <v>3.5999999999999996</v>
      </c>
      <c r="E78" s="185"/>
      <c r="F78" s="21"/>
      <c r="G78" s="185"/>
      <c r="H78" s="183"/>
      <c r="I78" s="183"/>
      <c r="J78" s="21"/>
      <c r="K78" s="202"/>
      <c r="L78" s="21"/>
      <c r="M78" s="21"/>
      <c r="N78" s="21"/>
      <c r="O78" s="21"/>
    </row>
    <row r="79" spans="1:15" s="6" customFormat="1" ht="25.5">
      <c r="A79" s="77" t="s">
        <v>546</v>
      </c>
      <c r="B79" s="7" t="s">
        <v>206</v>
      </c>
      <c r="C79" s="13" t="s">
        <v>12</v>
      </c>
      <c r="D79" s="25">
        <f>D78*0.04</f>
        <v>0.144</v>
      </c>
      <c r="E79" s="196"/>
      <c r="F79" s="20"/>
      <c r="G79" s="20"/>
      <c r="H79" s="196"/>
      <c r="I79" s="21"/>
      <c r="J79" s="20"/>
      <c r="K79" s="20"/>
      <c r="L79" s="20"/>
      <c r="M79" s="20"/>
      <c r="N79" s="20"/>
      <c r="O79" s="20"/>
    </row>
    <row r="80" spans="1:15" s="6" customFormat="1" ht="25.5">
      <c r="A80" s="77" t="s">
        <v>547</v>
      </c>
      <c r="B80" s="7" t="s">
        <v>159</v>
      </c>
      <c r="C80" s="13" t="s">
        <v>12</v>
      </c>
      <c r="D80" s="25">
        <f>D78*0.05</f>
        <v>0.18</v>
      </c>
      <c r="E80" s="183"/>
      <c r="F80" s="21"/>
      <c r="G80" s="21"/>
      <c r="H80" s="196"/>
      <c r="I80" s="20"/>
      <c r="J80" s="20"/>
      <c r="K80" s="20"/>
      <c r="L80" s="20"/>
      <c r="M80" s="20"/>
      <c r="N80" s="20"/>
      <c r="O80" s="20"/>
    </row>
    <row r="81" spans="1:15" s="6" customFormat="1" ht="25.5">
      <c r="A81" s="77" t="s">
        <v>548</v>
      </c>
      <c r="B81" s="7" t="s">
        <v>207</v>
      </c>
      <c r="C81" s="13" t="s">
        <v>150</v>
      </c>
      <c r="D81" s="25">
        <f>D78*0.25</f>
        <v>0.8999999999999999</v>
      </c>
      <c r="E81" s="196"/>
      <c r="F81" s="20"/>
      <c r="G81" s="20"/>
      <c r="H81" s="196"/>
      <c r="I81" s="196"/>
      <c r="J81" s="20"/>
      <c r="K81" s="20"/>
      <c r="L81" s="20"/>
      <c r="M81" s="20"/>
      <c r="N81" s="20"/>
      <c r="O81" s="20"/>
    </row>
    <row r="82" spans="1:15" s="6" customFormat="1" ht="25.5">
      <c r="A82" s="77" t="s">
        <v>734</v>
      </c>
      <c r="B82" s="7" t="s">
        <v>183</v>
      </c>
      <c r="C82" s="13" t="s">
        <v>150</v>
      </c>
      <c r="D82" s="25">
        <f>D78*0.3</f>
        <v>1.0799999999999998</v>
      </c>
      <c r="E82" s="198"/>
      <c r="F82" s="20"/>
      <c r="G82" s="20"/>
      <c r="H82" s="198"/>
      <c r="I82" s="199"/>
      <c r="J82" s="200"/>
      <c r="K82" s="200"/>
      <c r="L82" s="200"/>
      <c r="M82" s="200"/>
      <c r="N82" s="200"/>
      <c r="O82" s="200"/>
    </row>
    <row r="83" spans="1:15" s="6" customFormat="1" ht="14.25">
      <c r="A83" s="77" t="s">
        <v>747</v>
      </c>
      <c r="B83" s="81" t="s">
        <v>82</v>
      </c>
      <c r="C83" s="75" t="s">
        <v>661</v>
      </c>
      <c r="D83" s="25">
        <f>D20</f>
        <v>0.18</v>
      </c>
      <c r="E83" s="185"/>
      <c r="F83" s="21"/>
      <c r="G83" s="185"/>
      <c r="H83" s="185"/>
      <c r="I83" s="185"/>
      <c r="J83" s="21"/>
      <c r="K83" s="202"/>
      <c r="L83" s="21"/>
      <c r="M83" s="21"/>
      <c r="N83" s="21"/>
      <c r="O83" s="21"/>
    </row>
    <row r="84" spans="1:15" s="6" customFormat="1" ht="14.25">
      <c r="A84" s="77" t="s">
        <v>748</v>
      </c>
      <c r="B84" s="85" t="s">
        <v>90</v>
      </c>
      <c r="C84" s="25" t="s">
        <v>12</v>
      </c>
      <c r="D84" s="98">
        <f>100*D83*0.15</f>
        <v>2.6999999999999997</v>
      </c>
      <c r="E84" s="201"/>
      <c r="F84" s="186"/>
      <c r="G84" s="186"/>
      <c r="H84" s="187"/>
      <c r="I84" s="21"/>
      <c r="J84" s="20"/>
      <c r="K84" s="20"/>
      <c r="L84" s="20"/>
      <c r="M84" s="20"/>
      <c r="N84" s="20"/>
      <c r="O84" s="20"/>
    </row>
    <row r="85" spans="1:15" s="6" customFormat="1" ht="28.5" customHeight="1">
      <c r="A85" s="77" t="s">
        <v>749</v>
      </c>
      <c r="B85" s="85" t="s">
        <v>13</v>
      </c>
      <c r="C85" s="25" t="s">
        <v>40</v>
      </c>
      <c r="D85" s="25">
        <f>ROUND((100*D83*0.03),1)</f>
        <v>0.5</v>
      </c>
      <c r="E85" s="201"/>
      <c r="F85" s="186"/>
      <c r="G85" s="186"/>
      <c r="H85" s="187"/>
      <c r="I85" s="21"/>
      <c r="J85" s="20"/>
      <c r="K85" s="20"/>
      <c r="L85" s="20"/>
      <c r="M85" s="20"/>
      <c r="N85" s="20"/>
      <c r="O85" s="20"/>
    </row>
    <row r="86" spans="1:15" s="64" customFormat="1" ht="15.75" thickBot="1">
      <c r="A86" s="181"/>
      <c r="B86" s="169"/>
      <c r="C86" s="189"/>
      <c r="D86" s="189"/>
      <c r="E86" s="170"/>
      <c r="F86" s="190"/>
      <c r="G86" s="190"/>
      <c r="H86" s="170"/>
      <c r="I86" s="190"/>
      <c r="J86" s="190"/>
      <c r="K86" s="190"/>
      <c r="L86" s="190"/>
      <c r="M86" s="190"/>
      <c r="N86" s="190"/>
      <c r="O86" s="190"/>
    </row>
    <row r="87" spans="1:15" s="64" customFormat="1" ht="13.5" thickTop="1">
      <c r="A87" s="173"/>
      <c r="B87" s="96" t="s">
        <v>654</v>
      </c>
      <c r="C87" s="174"/>
      <c r="D87" s="175"/>
      <c r="E87" s="176"/>
      <c r="F87" s="176"/>
      <c r="G87" s="176"/>
      <c r="H87" s="176"/>
      <c r="I87" s="176"/>
      <c r="J87" s="177"/>
      <c r="K87" s="178"/>
      <c r="L87" s="178"/>
      <c r="M87" s="178"/>
      <c r="N87" s="178"/>
      <c r="O87" s="178"/>
    </row>
    <row r="88" spans="1:15" s="64" customFormat="1" ht="25.5">
      <c r="A88" s="47"/>
      <c r="B88" s="171" t="s">
        <v>662</v>
      </c>
      <c r="C88" s="191"/>
      <c r="D88" s="17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</row>
    <row r="89" spans="1:15" s="64" customFormat="1" ht="12.75">
      <c r="A89" s="46" t="s">
        <v>34</v>
      </c>
      <c r="B89" s="188" t="s">
        <v>654</v>
      </c>
      <c r="C89" s="191"/>
      <c r="D89" s="172"/>
      <c r="E89" s="182"/>
      <c r="F89" s="182"/>
      <c r="G89" s="182"/>
      <c r="H89" s="182"/>
      <c r="I89" s="182"/>
      <c r="J89" s="182"/>
      <c r="K89" s="195"/>
      <c r="L89" s="195"/>
      <c r="M89" s="195"/>
      <c r="N89" s="195"/>
      <c r="O89" s="195"/>
    </row>
    <row r="90" spans="1:4" s="64" customFormat="1" ht="12.75">
      <c r="A90" s="46" t="s">
        <v>676</v>
      </c>
      <c r="B90" s="12"/>
      <c r="C90" s="63"/>
      <c r="D90" s="65"/>
    </row>
    <row r="91" spans="1:4" s="64" customFormat="1" ht="12.75">
      <c r="A91" s="48" t="s">
        <v>35</v>
      </c>
      <c r="B91" s="12"/>
      <c r="C91" s="63"/>
      <c r="D91" s="65"/>
    </row>
    <row r="92" spans="1:4" s="64" customFormat="1" ht="12.75">
      <c r="A92" s="48" t="s">
        <v>18</v>
      </c>
      <c r="B92" s="66"/>
      <c r="C92" s="66"/>
      <c r="D92" s="65"/>
    </row>
    <row r="93" spans="1:4" s="64" customFormat="1" ht="12.75">
      <c r="A93" s="48" t="s">
        <v>19</v>
      </c>
      <c r="B93" s="66"/>
      <c r="C93" s="66"/>
      <c r="D93" s="65"/>
    </row>
    <row r="94" spans="1:4" s="64" customFormat="1" ht="12.75">
      <c r="A94" s="48" t="s">
        <v>36</v>
      </c>
      <c r="B94" s="66"/>
      <c r="C94" s="66"/>
      <c r="D94" s="65"/>
    </row>
    <row r="95" spans="1:4" s="64" customFormat="1" ht="12.75">
      <c r="A95" s="48" t="s">
        <v>37</v>
      </c>
      <c r="B95" s="66"/>
      <c r="C95" s="66"/>
      <c r="D95" s="65"/>
    </row>
    <row r="96" spans="1:4" s="64" customFormat="1" ht="12.75">
      <c r="A96" s="48" t="s">
        <v>38</v>
      </c>
      <c r="B96" s="66"/>
      <c r="C96" s="66"/>
      <c r="D96" s="65"/>
    </row>
    <row r="97" spans="1:4" s="64" customFormat="1" ht="12.75">
      <c r="A97" s="48" t="s">
        <v>39</v>
      </c>
      <c r="B97" s="66"/>
      <c r="C97" s="66"/>
      <c r="D97" s="65"/>
    </row>
    <row r="98" spans="1:4" ht="12.75">
      <c r="A98" s="11" t="s">
        <v>20</v>
      </c>
      <c r="B98" s="67"/>
      <c r="C98" s="67"/>
      <c r="D98" s="68"/>
    </row>
    <row r="99" spans="2:3" ht="12.75">
      <c r="B99" s="67"/>
      <c r="C99" s="67"/>
    </row>
    <row r="100" spans="1:3" ht="12.75">
      <c r="A100" s="31" t="s">
        <v>7</v>
      </c>
      <c r="B100" s="180"/>
      <c r="C100" s="67"/>
    </row>
    <row r="101" ht="12.75">
      <c r="A101" s="31"/>
    </row>
    <row r="102" spans="1:2" ht="12.75">
      <c r="A102" s="31" t="s">
        <v>6</v>
      </c>
      <c r="B102" s="69"/>
    </row>
    <row r="103" spans="1:2" ht="12.75">
      <c r="A103" s="31"/>
      <c r="B103" s="31"/>
    </row>
    <row r="104" ht="12.75">
      <c r="B104" s="30"/>
    </row>
    <row r="105" ht="12.75">
      <c r="B105" s="30"/>
    </row>
  </sheetData>
  <sheetProtection/>
  <mergeCells count="26">
    <mergeCell ref="A38:D38"/>
    <mergeCell ref="A66:C66"/>
    <mergeCell ref="A63:D63"/>
    <mergeCell ref="A57:D57"/>
    <mergeCell ref="A39:D39"/>
    <mergeCell ref="A23:D23"/>
    <mergeCell ref="A28:D28"/>
    <mergeCell ref="A31:D31"/>
    <mergeCell ref="A33:D33"/>
    <mergeCell ref="G8:I8"/>
    <mergeCell ref="J8:L8"/>
    <mergeCell ref="A14:D14"/>
    <mergeCell ref="A19:D19"/>
    <mergeCell ref="E9:J9"/>
    <mergeCell ref="K9:O9"/>
    <mergeCell ref="A13:D13"/>
    <mergeCell ref="A2:B2"/>
    <mergeCell ref="B5:D5"/>
    <mergeCell ref="B6:D6"/>
    <mergeCell ref="A9:A10"/>
    <mergeCell ref="B9:B10"/>
    <mergeCell ref="C9:C10"/>
    <mergeCell ref="D9:D10"/>
    <mergeCell ref="B7:D7"/>
    <mergeCell ref="B8:D8"/>
    <mergeCell ref="A3:D3"/>
  </mergeCells>
  <printOptions horizontalCentered="1"/>
  <pageMargins left="0.3937007874015748" right="0.3937007874015748" top="0.7874015748031497" bottom="0.5905511811023623" header="0.31496062992125984" footer="0.3937007874015748"/>
  <pageSetup fitToHeight="0" fitToWidth="1" horizontalDpi="600" verticalDpi="600" orientation="landscape" paperSize="9" scale="80" r:id="rId1"/>
  <headerFooter alignWithMargins="0">
    <oddFooter>&amp;CLapaspuse &amp;P no &amp;N&amp;R&amp;A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94"/>
  <sheetViews>
    <sheetView view="pageBreakPreview" zoomScaleSheetLayoutView="100" zoomScalePageLayoutView="0" workbookViewId="0" topLeftCell="A73">
      <pane xSplit="4" topLeftCell="E1" activePane="topRight" state="frozen"/>
      <selection pane="topLeft" activeCell="A2" sqref="A2"/>
      <selection pane="topRight" activeCell="C78" sqref="C78"/>
    </sheetView>
  </sheetViews>
  <sheetFormatPr defaultColWidth="9.140625" defaultRowHeight="12.75" outlineLevelRow="1"/>
  <cols>
    <col min="1" max="1" width="13.8515625" style="130" customWidth="1"/>
    <col min="2" max="2" width="43.8515625" style="130" customWidth="1"/>
    <col min="3" max="3" width="9.57421875" style="130" customWidth="1"/>
    <col min="4" max="4" width="10.421875" style="67" customWidth="1"/>
    <col min="5" max="5" width="7.7109375" style="130" customWidth="1"/>
    <col min="6" max="6" width="6.140625" style="130" customWidth="1"/>
    <col min="7" max="7" width="8.00390625" style="130" customWidth="1"/>
    <col min="8" max="8" width="9.421875" style="130" customWidth="1"/>
    <col min="9" max="9" width="7.00390625" style="130" customWidth="1"/>
    <col min="10" max="10" width="9.57421875" style="130" customWidth="1"/>
    <col min="11" max="11" width="7.57421875" style="130" customWidth="1"/>
    <col min="12" max="12" width="9.421875" style="130" bestFit="1" customWidth="1"/>
    <col min="13" max="13" width="10.8515625" style="130" customWidth="1"/>
    <col min="14" max="14" width="9.421875" style="130" bestFit="1" customWidth="1"/>
    <col min="15" max="15" width="10.421875" style="130" bestFit="1" customWidth="1"/>
    <col min="16" max="16" width="10.28125" style="130" bestFit="1" customWidth="1"/>
    <col min="17" max="16384" width="9.140625" style="130" customWidth="1"/>
  </cols>
  <sheetData>
    <row r="1" spans="6:9" ht="12.75" outlineLevel="1">
      <c r="F1" s="130">
        <v>5.41</v>
      </c>
      <c r="I1" s="131">
        <v>0.08</v>
      </c>
    </row>
    <row r="2" spans="1:15" s="31" customFormat="1" ht="15.75" thickBot="1">
      <c r="A2" s="330" t="s">
        <v>700</v>
      </c>
      <c r="B2" s="33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31" customFormat="1" ht="14.25" customHeight="1" thickTop="1">
      <c r="A3" s="329" t="s">
        <v>550</v>
      </c>
      <c r="B3" s="329"/>
      <c r="C3" s="329"/>
      <c r="D3" s="32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31" customFormat="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31" customFormat="1" ht="25.5">
      <c r="A5" s="41" t="s">
        <v>21</v>
      </c>
      <c r="B5" s="331" t="s">
        <v>163</v>
      </c>
      <c r="C5" s="331"/>
      <c r="D5" s="331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31" customFormat="1" ht="12.75">
      <c r="A6" s="8" t="s">
        <v>22</v>
      </c>
      <c r="B6" s="320" t="str">
        <f>'LKT-7;Dāliju'!B6:D6</f>
        <v>KDS "Ziedonis", Katlakalns, Ķekavas pagasts, Ķekavas novads</v>
      </c>
      <c r="C6" s="320"/>
      <c r="D6" s="320"/>
      <c r="E6" s="14"/>
      <c r="F6" s="14"/>
      <c r="G6" s="14"/>
      <c r="H6" s="14"/>
      <c r="I6" s="14"/>
      <c r="J6" s="14"/>
      <c r="K6" s="14"/>
      <c r="L6" s="8"/>
      <c r="M6" s="8"/>
      <c r="N6" s="8"/>
      <c r="O6" s="8"/>
    </row>
    <row r="7" spans="1:15" s="31" customFormat="1" ht="12.75">
      <c r="A7" s="8"/>
      <c r="B7" s="320"/>
      <c r="C7" s="320"/>
      <c r="D7" s="320"/>
      <c r="E7" s="50"/>
      <c r="F7" s="50"/>
      <c r="H7" s="1"/>
      <c r="I7" s="17" t="s">
        <v>8</v>
      </c>
      <c r="J7" s="2">
        <f>O79</f>
        <v>0</v>
      </c>
      <c r="K7" s="1" t="s">
        <v>685</v>
      </c>
      <c r="L7" s="53"/>
      <c r="M7" s="8"/>
      <c r="N7" s="8"/>
      <c r="O7" s="8"/>
    </row>
    <row r="8" spans="1:15" s="31" customFormat="1" ht="13.5" thickBot="1">
      <c r="A8" s="8"/>
      <c r="B8" s="320"/>
      <c r="C8" s="320"/>
      <c r="D8" s="320"/>
      <c r="E8" s="52"/>
      <c r="F8" s="53"/>
      <c r="G8" s="322" t="s">
        <v>663</v>
      </c>
      <c r="H8" s="322"/>
      <c r="I8" s="322"/>
      <c r="J8" s="323" t="s">
        <v>686</v>
      </c>
      <c r="K8" s="323"/>
      <c r="L8" s="323"/>
      <c r="M8" s="53"/>
      <c r="N8" s="53"/>
      <c r="O8" s="53"/>
    </row>
    <row r="9" spans="1:15" s="31" customFormat="1" ht="18.75" customHeight="1">
      <c r="A9" s="324" t="s">
        <v>24</v>
      </c>
      <c r="B9" s="318" t="s">
        <v>25</v>
      </c>
      <c r="C9" s="327" t="s">
        <v>26</v>
      </c>
      <c r="D9" s="338" t="s">
        <v>27</v>
      </c>
      <c r="E9" s="318" t="s">
        <v>28</v>
      </c>
      <c r="F9" s="318"/>
      <c r="G9" s="318"/>
      <c r="H9" s="318"/>
      <c r="I9" s="318"/>
      <c r="J9" s="318"/>
      <c r="K9" s="318" t="s">
        <v>29</v>
      </c>
      <c r="L9" s="318" t="s">
        <v>29</v>
      </c>
      <c r="M9" s="318"/>
      <c r="N9" s="318"/>
      <c r="O9" s="321"/>
    </row>
    <row r="10" spans="1:15" s="31" customFormat="1" ht="80.25" thickBot="1">
      <c r="A10" s="325"/>
      <c r="B10" s="326"/>
      <c r="C10" s="328"/>
      <c r="D10" s="339"/>
      <c r="E10" s="32" t="s">
        <v>30</v>
      </c>
      <c r="F10" s="32" t="s">
        <v>678</v>
      </c>
      <c r="G10" s="32" t="s">
        <v>677</v>
      </c>
      <c r="H10" s="56" t="s">
        <v>679</v>
      </c>
      <c r="I10" s="32" t="s">
        <v>680</v>
      </c>
      <c r="J10" s="32" t="s">
        <v>681</v>
      </c>
      <c r="K10" s="32" t="s">
        <v>31</v>
      </c>
      <c r="L10" s="32" t="s">
        <v>682</v>
      </c>
      <c r="M10" s="32" t="s">
        <v>683</v>
      </c>
      <c r="N10" s="32" t="s">
        <v>680</v>
      </c>
      <c r="O10" s="57" t="s">
        <v>684</v>
      </c>
    </row>
    <row r="11" spans="1:15" s="3" customFormat="1" ht="15" customHeight="1" thickBot="1">
      <c r="A11" s="58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  <c r="G11" s="59">
        <v>7</v>
      </c>
      <c r="H11" s="59">
        <v>8</v>
      </c>
      <c r="I11" s="59">
        <v>9</v>
      </c>
      <c r="J11" s="59">
        <v>10</v>
      </c>
      <c r="K11" s="59">
        <v>11</v>
      </c>
      <c r="L11" s="59">
        <v>12</v>
      </c>
      <c r="M11" s="59">
        <v>13</v>
      </c>
      <c r="N11" s="59">
        <v>14</v>
      </c>
      <c r="O11" s="60">
        <v>15</v>
      </c>
    </row>
    <row r="12" spans="1:15" s="44" customFormat="1" ht="15" customHeight="1" thickBot="1">
      <c r="A12" s="71"/>
      <c r="B12" s="71"/>
      <c r="C12" s="71"/>
      <c r="D12" s="71"/>
      <c r="E12" s="72"/>
      <c r="F12" s="72"/>
      <c r="G12" s="72"/>
      <c r="H12" s="72"/>
      <c r="I12" s="72"/>
      <c r="J12" s="61"/>
      <c r="K12" s="61"/>
      <c r="L12" s="61"/>
      <c r="M12" s="61"/>
      <c r="N12" s="61"/>
      <c r="O12" s="61"/>
    </row>
    <row r="13" spans="1:15" s="45" customFormat="1" ht="15" customHeight="1" thickBot="1">
      <c r="A13" s="314" t="s">
        <v>107</v>
      </c>
      <c r="B13" s="315"/>
      <c r="C13" s="315"/>
      <c r="D13" s="315"/>
      <c r="E13" s="73"/>
      <c r="F13" s="72"/>
      <c r="G13" s="72"/>
      <c r="H13" s="72"/>
      <c r="I13" s="72"/>
      <c r="J13" s="61"/>
      <c r="K13" s="61"/>
      <c r="L13" s="61"/>
      <c r="M13" s="61"/>
      <c r="N13" s="61"/>
      <c r="O13" s="62"/>
    </row>
    <row r="14" spans="1:15" s="3" customFormat="1" ht="15" customHeight="1" thickBot="1">
      <c r="A14" s="312" t="s">
        <v>106</v>
      </c>
      <c r="B14" s="313"/>
      <c r="C14" s="313"/>
      <c r="D14" s="319"/>
      <c r="E14" s="74"/>
      <c r="F14" s="75"/>
      <c r="G14" s="15"/>
      <c r="H14" s="15"/>
      <c r="I14" s="15"/>
      <c r="J14" s="42"/>
      <c r="K14" s="42"/>
      <c r="L14" s="42"/>
      <c r="M14" s="42"/>
      <c r="N14" s="42"/>
      <c r="O14" s="43"/>
    </row>
    <row r="15" spans="1:15" s="27" customFormat="1" ht="25.5">
      <c r="A15" s="70" t="s">
        <v>551</v>
      </c>
      <c r="B15" s="80" t="s">
        <v>50</v>
      </c>
      <c r="C15" s="70" t="s">
        <v>32</v>
      </c>
      <c r="D15" s="70">
        <v>1</v>
      </c>
      <c r="E15" s="185"/>
      <c r="F15" s="21"/>
      <c r="G15" s="185"/>
      <c r="H15" s="193"/>
      <c r="I15" s="21"/>
      <c r="J15" s="21"/>
      <c r="K15" s="21"/>
      <c r="L15" s="21"/>
      <c r="M15" s="21"/>
      <c r="N15" s="21"/>
      <c r="O15" s="21"/>
    </row>
    <row r="16" spans="1:15" s="27" customFormat="1" ht="27" customHeight="1">
      <c r="A16" s="70" t="s">
        <v>552</v>
      </c>
      <c r="B16" s="78" t="s">
        <v>51</v>
      </c>
      <c r="C16" s="75" t="s">
        <v>47</v>
      </c>
      <c r="D16" s="70">
        <v>4</v>
      </c>
      <c r="E16" s="185"/>
      <c r="F16" s="21"/>
      <c r="G16" s="183"/>
      <c r="H16" s="195"/>
      <c r="I16" s="21"/>
      <c r="J16" s="21"/>
      <c r="K16" s="21"/>
      <c r="L16" s="21"/>
      <c r="M16" s="21"/>
      <c r="N16" s="21"/>
      <c r="O16" s="36"/>
    </row>
    <row r="17" spans="1:15" s="27" customFormat="1" ht="25.5">
      <c r="A17" s="70" t="s">
        <v>553</v>
      </c>
      <c r="B17" s="78" t="s">
        <v>186</v>
      </c>
      <c r="C17" s="75" t="s">
        <v>16</v>
      </c>
      <c r="D17" s="70">
        <v>12</v>
      </c>
      <c r="E17" s="185"/>
      <c r="F17" s="21"/>
      <c r="G17" s="183"/>
      <c r="H17" s="183"/>
      <c r="I17" s="21"/>
      <c r="J17" s="21"/>
      <c r="K17" s="21"/>
      <c r="L17" s="21"/>
      <c r="M17" s="21"/>
      <c r="N17" s="21"/>
      <c r="O17" s="36"/>
    </row>
    <row r="18" spans="1:15" s="27" customFormat="1" ht="13.5" thickBot="1">
      <c r="A18" s="70" t="s">
        <v>554</v>
      </c>
      <c r="B18" s="78" t="s">
        <v>45</v>
      </c>
      <c r="C18" s="79" t="s">
        <v>46</v>
      </c>
      <c r="D18" s="70">
        <v>1</v>
      </c>
      <c r="E18" s="21"/>
      <c r="F18" s="21"/>
      <c r="G18" s="185"/>
      <c r="H18" s="193"/>
      <c r="I18" s="21"/>
      <c r="J18" s="21"/>
      <c r="K18" s="202"/>
      <c r="L18" s="21"/>
      <c r="M18" s="21"/>
      <c r="N18" s="21"/>
      <c r="O18" s="21"/>
    </row>
    <row r="19" spans="1:15" ht="14.25" customHeight="1" thickBot="1">
      <c r="A19" s="312" t="s">
        <v>105</v>
      </c>
      <c r="B19" s="313"/>
      <c r="C19" s="313"/>
      <c r="D19" s="319"/>
      <c r="E19" s="74"/>
      <c r="F19" s="75"/>
      <c r="G19" s="15"/>
      <c r="H19" s="15"/>
      <c r="I19" s="15"/>
      <c r="J19" s="42"/>
      <c r="K19" s="132"/>
      <c r="L19" s="132"/>
      <c r="M19" s="132"/>
      <c r="N19" s="132"/>
      <c r="O19" s="133"/>
    </row>
    <row r="20" spans="1:15" s="27" customFormat="1" ht="25.5">
      <c r="A20" s="77" t="s">
        <v>555</v>
      </c>
      <c r="B20" s="10" t="s">
        <v>155</v>
      </c>
      <c r="C20" s="79" t="s">
        <v>664</v>
      </c>
      <c r="D20" s="70">
        <f>ROUND(16.4*1.2/100,2)</f>
        <v>0.2</v>
      </c>
      <c r="E20" s="203"/>
      <c r="F20" s="21"/>
      <c r="G20" s="185"/>
      <c r="H20" s="183"/>
      <c r="I20" s="203"/>
      <c r="J20" s="21"/>
      <c r="K20" s="202"/>
      <c r="L20" s="21"/>
      <c r="M20" s="21"/>
      <c r="N20" s="21"/>
      <c r="O20" s="36"/>
    </row>
    <row r="21" spans="1:15" s="27" customFormat="1" ht="26.25" thickBot="1">
      <c r="A21" s="77" t="s">
        <v>556</v>
      </c>
      <c r="B21" s="4" t="s">
        <v>161</v>
      </c>
      <c r="C21" s="22" t="s">
        <v>48</v>
      </c>
      <c r="D21" s="70">
        <f>ROUND(156*1.2,0)</f>
        <v>187</v>
      </c>
      <c r="E21" s="197"/>
      <c r="F21" s="21"/>
      <c r="G21" s="185"/>
      <c r="H21" s="183"/>
      <c r="I21" s="21"/>
      <c r="J21" s="21"/>
      <c r="K21" s="202"/>
      <c r="L21" s="21"/>
      <c r="M21" s="21"/>
      <c r="N21" s="21"/>
      <c r="O21" s="21"/>
    </row>
    <row r="22" spans="1:15" ht="62.25" customHeight="1" thickBot="1">
      <c r="A22" s="312" t="s">
        <v>104</v>
      </c>
      <c r="B22" s="313"/>
      <c r="C22" s="313"/>
      <c r="D22" s="319"/>
      <c r="E22" s="16"/>
      <c r="F22" s="70"/>
      <c r="G22" s="16"/>
      <c r="H22" s="16"/>
      <c r="I22" s="16"/>
      <c r="J22" s="21"/>
      <c r="K22" s="21"/>
      <c r="L22" s="132"/>
      <c r="M22" s="132"/>
      <c r="N22" s="132"/>
      <c r="O22" s="133"/>
    </row>
    <row r="23" spans="1:15" s="6" customFormat="1" ht="12.75">
      <c r="A23" s="77" t="s">
        <v>557</v>
      </c>
      <c r="B23" s="82" t="s">
        <v>11</v>
      </c>
      <c r="C23" s="83" t="s">
        <v>41</v>
      </c>
      <c r="D23" s="125">
        <v>2</v>
      </c>
      <c r="E23" s="42"/>
      <c r="F23" s="192"/>
      <c r="G23" s="185"/>
      <c r="H23" s="194"/>
      <c r="I23" s="183"/>
      <c r="J23" s="42"/>
      <c r="K23" s="202"/>
      <c r="L23" s="21"/>
      <c r="M23" s="21"/>
      <c r="N23" s="21"/>
      <c r="O23" s="21"/>
    </row>
    <row r="24" spans="1:15" s="27" customFormat="1" ht="12.75">
      <c r="A24" s="77" t="s">
        <v>558</v>
      </c>
      <c r="B24" s="82" t="s">
        <v>66</v>
      </c>
      <c r="C24" s="83" t="s">
        <v>41</v>
      </c>
      <c r="D24" s="125">
        <v>10</v>
      </c>
      <c r="E24" s="42"/>
      <c r="F24" s="192"/>
      <c r="G24" s="185"/>
      <c r="H24" s="194"/>
      <c r="I24" s="183"/>
      <c r="J24" s="42"/>
      <c r="K24" s="202"/>
      <c r="L24" s="21"/>
      <c r="M24" s="21"/>
      <c r="N24" s="21"/>
      <c r="O24" s="21"/>
    </row>
    <row r="25" spans="1:15" s="27" customFormat="1" ht="12.75">
      <c r="A25" s="77" t="s">
        <v>559</v>
      </c>
      <c r="B25" s="82" t="s">
        <v>14</v>
      </c>
      <c r="C25" s="83" t="s">
        <v>41</v>
      </c>
      <c r="D25" s="125">
        <v>10</v>
      </c>
      <c r="E25" s="42"/>
      <c r="F25" s="192"/>
      <c r="G25" s="185"/>
      <c r="H25" s="194"/>
      <c r="I25" s="183"/>
      <c r="J25" s="42"/>
      <c r="K25" s="202"/>
      <c r="L25" s="21"/>
      <c r="M25" s="21"/>
      <c r="N25" s="21"/>
      <c r="O25" s="21"/>
    </row>
    <row r="26" spans="1:15" s="27" customFormat="1" ht="13.5" thickBot="1">
      <c r="A26" s="77" t="s">
        <v>560</v>
      </c>
      <c r="B26" s="85" t="s">
        <v>69</v>
      </c>
      <c r="C26" s="25" t="s">
        <v>16</v>
      </c>
      <c r="D26" s="125">
        <v>5</v>
      </c>
      <c r="E26" s="184"/>
      <c r="F26" s="20"/>
      <c r="G26" s="185"/>
      <c r="H26" s="184"/>
      <c r="I26" s="21"/>
      <c r="J26" s="20"/>
      <c r="K26" s="20"/>
      <c r="L26" s="20"/>
      <c r="M26" s="20"/>
      <c r="N26" s="20"/>
      <c r="O26" s="20"/>
    </row>
    <row r="27" spans="1:15" ht="48.75" customHeight="1" thickBot="1">
      <c r="A27" s="312" t="s">
        <v>160</v>
      </c>
      <c r="B27" s="313"/>
      <c r="C27" s="313"/>
      <c r="D27" s="319"/>
      <c r="E27" s="86"/>
      <c r="F27" s="70"/>
      <c r="G27" s="16"/>
      <c r="H27" s="16"/>
      <c r="I27" s="16"/>
      <c r="J27" s="21"/>
      <c r="K27" s="132"/>
      <c r="L27" s="132"/>
      <c r="M27" s="132"/>
      <c r="N27" s="132"/>
      <c r="O27" s="133"/>
    </row>
    <row r="28" spans="1:15" s="27" customFormat="1" ht="16.5" customHeight="1">
      <c r="A28" s="77" t="s">
        <v>561</v>
      </c>
      <c r="B28" s="80" t="s">
        <v>200</v>
      </c>
      <c r="C28" s="70" t="s">
        <v>33</v>
      </c>
      <c r="D28" s="70">
        <v>92.7</v>
      </c>
      <c r="E28" s="185"/>
      <c r="F28" s="21"/>
      <c r="G28" s="21"/>
      <c r="H28" s="185"/>
      <c r="I28" s="21"/>
      <c r="J28" s="21"/>
      <c r="K28" s="21"/>
      <c r="L28" s="21"/>
      <c r="M28" s="21"/>
      <c r="N28" s="21"/>
      <c r="O28" s="36"/>
    </row>
    <row r="29" spans="1:15" s="27" customFormat="1" ht="16.5" customHeight="1">
      <c r="A29" s="77" t="s">
        <v>562</v>
      </c>
      <c r="B29" s="80" t="s">
        <v>164</v>
      </c>
      <c r="C29" s="70" t="s">
        <v>33</v>
      </c>
      <c r="D29" s="70">
        <v>35.5</v>
      </c>
      <c r="E29" s="185"/>
      <c r="F29" s="21"/>
      <c r="G29" s="21"/>
      <c r="H29" s="183"/>
      <c r="I29" s="183"/>
      <c r="J29" s="21"/>
      <c r="K29" s="21"/>
      <c r="L29" s="21"/>
      <c r="M29" s="21"/>
      <c r="N29" s="21"/>
      <c r="O29" s="36"/>
    </row>
    <row r="30" spans="1:15" s="27" customFormat="1" ht="26.25" thickBot="1">
      <c r="A30" s="77" t="s">
        <v>563</v>
      </c>
      <c r="B30" s="81" t="s">
        <v>112</v>
      </c>
      <c r="C30" s="70" t="s">
        <v>33</v>
      </c>
      <c r="D30" s="70">
        <f>(D44+D45)-16*0.6</f>
        <v>32.5</v>
      </c>
      <c r="E30" s="185"/>
      <c r="F30" s="21"/>
      <c r="G30" s="21"/>
      <c r="H30" s="185"/>
      <c r="I30" s="21"/>
      <c r="J30" s="21"/>
      <c r="K30" s="21"/>
      <c r="L30" s="21"/>
      <c r="M30" s="21"/>
      <c r="N30" s="21"/>
      <c r="O30" s="36"/>
    </row>
    <row r="31" spans="1:15" ht="14.25" customHeight="1" thickBot="1">
      <c r="A31" s="312" t="s">
        <v>103</v>
      </c>
      <c r="B31" s="313"/>
      <c r="C31" s="313"/>
      <c r="D31" s="319"/>
      <c r="E31" s="87"/>
      <c r="F31" s="70"/>
      <c r="G31" s="16"/>
      <c r="H31" s="16"/>
      <c r="I31" s="16"/>
      <c r="J31" s="21"/>
      <c r="K31" s="21"/>
      <c r="L31" s="21"/>
      <c r="M31" s="21"/>
      <c r="N31" s="21"/>
      <c r="O31" s="36"/>
    </row>
    <row r="32" spans="1:15" ht="13.5" thickBot="1">
      <c r="A32" s="77" t="s">
        <v>564</v>
      </c>
      <c r="B32" s="81" t="s">
        <v>99</v>
      </c>
      <c r="C32" s="70" t="s">
        <v>100</v>
      </c>
      <c r="D32" s="70">
        <v>12</v>
      </c>
      <c r="E32" s="185"/>
      <c r="F32" s="21"/>
      <c r="G32" s="185"/>
      <c r="H32" s="185"/>
      <c r="I32" s="21"/>
      <c r="J32" s="21"/>
      <c r="K32" s="21"/>
      <c r="L32" s="21"/>
      <c r="M32" s="21"/>
      <c r="N32" s="21"/>
      <c r="O32" s="21"/>
    </row>
    <row r="33" spans="1:15" ht="35.25" customHeight="1" thickBot="1">
      <c r="A33" s="312" t="s">
        <v>102</v>
      </c>
      <c r="B33" s="313"/>
      <c r="C33" s="313"/>
      <c r="D33" s="319"/>
      <c r="E33" s="87"/>
      <c r="F33" s="70"/>
      <c r="G33" s="16"/>
      <c r="H33" s="16"/>
      <c r="I33" s="16"/>
      <c r="J33" s="21"/>
      <c r="K33" s="21"/>
      <c r="L33" s="21"/>
      <c r="M33" s="21"/>
      <c r="N33" s="21"/>
      <c r="O33" s="36"/>
    </row>
    <row r="34" spans="1:15" s="26" customFormat="1" ht="38.25">
      <c r="A34" s="77" t="s">
        <v>565</v>
      </c>
      <c r="B34" s="4" t="s">
        <v>187</v>
      </c>
      <c r="C34" s="79" t="s">
        <v>44</v>
      </c>
      <c r="D34" s="70">
        <f>D28*1.25*1.2+D29*1.75*1.2+D30*1.75*1.2-D42-D53-D69-D73-D74-D75</f>
        <v>128.14999999999995</v>
      </c>
      <c r="E34" s="183"/>
      <c r="F34" s="21"/>
      <c r="G34" s="185"/>
      <c r="H34" s="183"/>
      <c r="I34" s="21"/>
      <c r="J34" s="21"/>
      <c r="K34" s="202"/>
      <c r="L34" s="21"/>
      <c r="M34" s="21"/>
      <c r="N34" s="21"/>
      <c r="O34" s="21"/>
    </row>
    <row r="35" spans="1:15" s="26" customFormat="1" ht="38.25">
      <c r="A35" s="77" t="s">
        <v>566</v>
      </c>
      <c r="B35" s="85" t="s">
        <v>109</v>
      </c>
      <c r="C35" s="88" t="s">
        <v>44</v>
      </c>
      <c r="D35" s="25">
        <f>ROUND(D34*0.1,0)</f>
        <v>13</v>
      </c>
      <c r="E35" s="185"/>
      <c r="F35" s="21"/>
      <c r="G35" s="185"/>
      <c r="H35" s="185"/>
      <c r="I35" s="185"/>
      <c r="J35" s="21"/>
      <c r="K35" s="202"/>
      <c r="L35" s="21"/>
      <c r="M35" s="21"/>
      <c r="N35" s="21"/>
      <c r="O35" s="21"/>
    </row>
    <row r="36" spans="1:15" s="26" customFormat="1" ht="12.75">
      <c r="A36" s="77" t="s">
        <v>567</v>
      </c>
      <c r="B36" s="7" t="s">
        <v>188</v>
      </c>
      <c r="C36" s="88" t="s">
        <v>44</v>
      </c>
      <c r="D36" s="25">
        <f>D35</f>
        <v>13</v>
      </c>
      <c r="E36" s="184"/>
      <c r="F36" s="20"/>
      <c r="G36" s="184"/>
      <c r="H36" s="184"/>
      <c r="I36" s="21"/>
      <c r="J36" s="20"/>
      <c r="K36" s="20"/>
      <c r="L36" s="20"/>
      <c r="M36" s="20"/>
      <c r="N36" s="20"/>
      <c r="O36" s="20"/>
    </row>
    <row r="37" spans="1:15" s="28" customFormat="1" ht="26.25" thickBot="1">
      <c r="A37" s="77" t="s">
        <v>568</v>
      </c>
      <c r="B37" s="81" t="s">
        <v>110</v>
      </c>
      <c r="C37" s="79" t="s">
        <v>44</v>
      </c>
      <c r="D37" s="70">
        <f>D35+D42+D53+D74+D75+D73</f>
        <v>163.7</v>
      </c>
      <c r="E37" s="185"/>
      <c r="F37" s="21"/>
      <c r="G37" s="185"/>
      <c r="H37" s="185"/>
      <c r="I37" s="185"/>
      <c r="J37" s="21"/>
      <c r="K37" s="202"/>
      <c r="L37" s="21"/>
      <c r="M37" s="21"/>
      <c r="N37" s="21"/>
      <c r="O37" s="21"/>
    </row>
    <row r="38" spans="1:15" s="28" customFormat="1" ht="16.5" thickBot="1">
      <c r="A38" s="314" t="s">
        <v>166</v>
      </c>
      <c r="B38" s="315"/>
      <c r="C38" s="315"/>
      <c r="D38" s="315"/>
      <c r="E38" s="86"/>
      <c r="F38" s="70"/>
      <c r="G38" s="16"/>
      <c r="H38" s="16"/>
      <c r="I38" s="70"/>
      <c r="J38" s="21"/>
      <c r="K38" s="21"/>
      <c r="L38" s="21"/>
      <c r="M38" s="21"/>
      <c r="N38" s="21"/>
      <c r="O38" s="36"/>
    </row>
    <row r="39" spans="1:15" s="28" customFormat="1" ht="14.25" customHeight="1" thickBot="1">
      <c r="A39" s="312" t="s">
        <v>174</v>
      </c>
      <c r="B39" s="313"/>
      <c r="C39" s="313"/>
      <c r="D39" s="313"/>
      <c r="E39" s="86"/>
      <c r="F39" s="70"/>
      <c r="G39" s="16"/>
      <c r="H39" s="16"/>
      <c r="I39" s="70"/>
      <c r="J39" s="21"/>
      <c r="K39" s="21"/>
      <c r="L39" s="21"/>
      <c r="M39" s="21"/>
      <c r="N39" s="21"/>
      <c r="O39" s="36"/>
    </row>
    <row r="40" spans="1:15" s="28" customFormat="1" ht="12.75">
      <c r="A40" s="75" t="s">
        <v>569</v>
      </c>
      <c r="B40" s="78" t="s">
        <v>168</v>
      </c>
      <c r="C40" s="70" t="s">
        <v>33</v>
      </c>
      <c r="D40" s="70">
        <f>D46</f>
        <v>128.2</v>
      </c>
      <c r="E40" s="183"/>
      <c r="F40" s="21"/>
      <c r="G40" s="185"/>
      <c r="H40" s="195"/>
      <c r="I40" s="21"/>
      <c r="J40" s="21"/>
      <c r="K40" s="202"/>
      <c r="L40" s="21"/>
      <c r="M40" s="21"/>
      <c r="N40" s="21"/>
      <c r="O40" s="21"/>
    </row>
    <row r="41" spans="1:15" s="28" customFormat="1" ht="25.5">
      <c r="A41" s="75" t="s">
        <v>570</v>
      </c>
      <c r="B41" s="81" t="s">
        <v>687</v>
      </c>
      <c r="C41" s="70" t="s">
        <v>79</v>
      </c>
      <c r="D41" s="70">
        <f>ROUND((D44*0.41+D45*0.5+D46*0.65),1)</f>
        <v>101.4</v>
      </c>
      <c r="E41" s="185"/>
      <c r="F41" s="21"/>
      <c r="G41" s="185"/>
      <c r="H41" s="185"/>
      <c r="I41" s="185"/>
      <c r="J41" s="21"/>
      <c r="K41" s="202"/>
      <c r="L41" s="21"/>
      <c r="M41" s="21"/>
      <c r="N41" s="21"/>
      <c r="O41" s="21"/>
    </row>
    <row r="42" spans="1:15" s="28" customFormat="1" ht="25.5">
      <c r="A42" s="75" t="s">
        <v>571</v>
      </c>
      <c r="B42" s="85" t="s">
        <v>688</v>
      </c>
      <c r="C42" s="25" t="s">
        <v>12</v>
      </c>
      <c r="D42" s="70">
        <f>ROUND((D44*0.0615+D45*0.075+D46*0.065),1)</f>
        <v>11</v>
      </c>
      <c r="E42" s="184"/>
      <c r="F42" s="20"/>
      <c r="G42" s="184"/>
      <c r="H42" s="184"/>
      <c r="I42" s="21"/>
      <c r="J42" s="20"/>
      <c r="K42" s="20"/>
      <c r="L42" s="20"/>
      <c r="M42" s="20"/>
      <c r="N42" s="20"/>
      <c r="O42" s="20"/>
    </row>
    <row r="43" spans="1:15" s="28" customFormat="1" ht="12.75">
      <c r="A43" s="75" t="s">
        <v>572</v>
      </c>
      <c r="B43" s="89" t="s">
        <v>15</v>
      </c>
      <c r="C43" s="70" t="s">
        <v>33</v>
      </c>
      <c r="D43" s="70">
        <f>SUM(D44:D46)</f>
        <v>170.29999999999998</v>
      </c>
      <c r="E43" s="185"/>
      <c r="F43" s="21"/>
      <c r="G43" s="185"/>
      <c r="H43" s="185"/>
      <c r="I43" s="185"/>
      <c r="J43" s="21"/>
      <c r="K43" s="202"/>
      <c r="L43" s="21"/>
      <c r="M43" s="21"/>
      <c r="N43" s="21"/>
      <c r="O43" s="21"/>
    </row>
    <row r="44" spans="1:15" s="28" customFormat="1" ht="12.75">
      <c r="A44" s="75" t="s">
        <v>573</v>
      </c>
      <c r="B44" s="90" t="s">
        <v>170</v>
      </c>
      <c r="C44" s="25" t="s">
        <v>33</v>
      </c>
      <c r="D44" s="70">
        <v>33.2</v>
      </c>
      <c r="E44" s="184"/>
      <c r="F44" s="20"/>
      <c r="G44" s="184"/>
      <c r="H44" s="184"/>
      <c r="I44" s="21"/>
      <c r="J44" s="20"/>
      <c r="K44" s="20"/>
      <c r="L44" s="20"/>
      <c r="M44" s="20"/>
      <c r="N44" s="20"/>
      <c r="O44" s="20"/>
    </row>
    <row r="45" spans="1:15" s="28" customFormat="1" ht="12.75">
      <c r="A45" s="75" t="s">
        <v>574</v>
      </c>
      <c r="B45" s="90" t="s">
        <v>9</v>
      </c>
      <c r="C45" s="25" t="s">
        <v>33</v>
      </c>
      <c r="D45" s="70">
        <v>8.9</v>
      </c>
      <c r="E45" s="196"/>
      <c r="F45" s="20"/>
      <c r="G45" s="196"/>
      <c r="H45" s="184"/>
      <c r="I45" s="21"/>
      <c r="J45" s="20"/>
      <c r="K45" s="20"/>
      <c r="L45" s="20"/>
      <c r="M45" s="20"/>
      <c r="N45" s="20"/>
      <c r="O45" s="38"/>
    </row>
    <row r="46" spans="1:15" s="28" customFormat="1" ht="12.75">
      <c r="A46" s="75" t="s">
        <v>575</v>
      </c>
      <c r="B46" s="90" t="s">
        <v>169</v>
      </c>
      <c r="C46" s="25" t="s">
        <v>33</v>
      </c>
      <c r="D46" s="70">
        <v>128.2</v>
      </c>
      <c r="E46" s="184"/>
      <c r="F46" s="20"/>
      <c r="G46" s="184"/>
      <c r="H46" s="184"/>
      <c r="I46" s="21"/>
      <c r="J46" s="20"/>
      <c r="K46" s="20"/>
      <c r="L46" s="20"/>
      <c r="M46" s="20"/>
      <c r="N46" s="20"/>
      <c r="O46" s="20"/>
    </row>
    <row r="47" spans="1:15" s="28" customFormat="1" ht="38.25">
      <c r="A47" s="75" t="s">
        <v>576</v>
      </c>
      <c r="B47" s="85" t="s">
        <v>691</v>
      </c>
      <c r="C47" s="88" t="s">
        <v>42</v>
      </c>
      <c r="D47" s="105">
        <f>D46</f>
        <v>128.2</v>
      </c>
      <c r="E47" s="184"/>
      <c r="F47" s="20"/>
      <c r="G47" s="184"/>
      <c r="H47" s="184"/>
      <c r="I47" s="21"/>
      <c r="J47" s="20"/>
      <c r="K47" s="20"/>
      <c r="L47" s="20"/>
      <c r="M47" s="20"/>
      <c r="N47" s="20"/>
      <c r="O47" s="20"/>
    </row>
    <row r="48" spans="1:15" s="28" customFormat="1" ht="45.75" customHeight="1">
      <c r="A48" s="75" t="s">
        <v>577</v>
      </c>
      <c r="B48" s="4" t="s">
        <v>193</v>
      </c>
      <c r="C48" s="70" t="s">
        <v>16</v>
      </c>
      <c r="D48" s="70">
        <v>12</v>
      </c>
      <c r="E48" s="185"/>
      <c r="F48" s="21"/>
      <c r="G48" s="185"/>
      <c r="H48" s="183"/>
      <c r="I48" s="21"/>
      <c r="J48" s="21"/>
      <c r="K48" s="202"/>
      <c r="L48" s="21"/>
      <c r="M48" s="21"/>
      <c r="N48" s="21"/>
      <c r="O48" s="21"/>
    </row>
    <row r="49" spans="1:15" s="28" customFormat="1" ht="51">
      <c r="A49" s="75" t="s">
        <v>578</v>
      </c>
      <c r="B49" s="7" t="s">
        <v>213</v>
      </c>
      <c r="C49" s="9" t="s">
        <v>32</v>
      </c>
      <c r="D49" s="70">
        <f>D48</f>
        <v>12</v>
      </c>
      <c r="E49" s="184"/>
      <c r="F49" s="20"/>
      <c r="G49" s="184"/>
      <c r="H49" s="184"/>
      <c r="I49" s="21"/>
      <c r="J49" s="20"/>
      <c r="K49" s="20"/>
      <c r="L49" s="20"/>
      <c r="M49" s="20"/>
      <c r="N49" s="20"/>
      <c r="O49" s="20"/>
    </row>
    <row r="50" spans="1:15" s="28" customFormat="1" ht="25.5">
      <c r="A50" s="75" t="s">
        <v>579</v>
      </c>
      <c r="B50" s="91" t="s">
        <v>673</v>
      </c>
      <c r="C50" s="92" t="s">
        <v>33</v>
      </c>
      <c r="D50" s="70">
        <v>91</v>
      </c>
      <c r="E50" s="185"/>
      <c r="F50" s="21"/>
      <c r="G50" s="185"/>
      <c r="H50" s="185"/>
      <c r="I50" s="21"/>
      <c r="J50" s="21"/>
      <c r="K50" s="21"/>
      <c r="L50" s="21"/>
      <c r="M50" s="21"/>
      <c r="N50" s="21"/>
      <c r="O50" s="21"/>
    </row>
    <row r="51" spans="1:15" s="28" customFormat="1" ht="25.5">
      <c r="A51" s="75" t="s">
        <v>580</v>
      </c>
      <c r="B51" s="85" t="s">
        <v>3</v>
      </c>
      <c r="C51" s="25" t="s">
        <v>157</v>
      </c>
      <c r="D51" s="70">
        <v>91</v>
      </c>
      <c r="E51" s="184"/>
      <c r="F51" s="20"/>
      <c r="G51" s="184"/>
      <c r="H51" s="184"/>
      <c r="I51" s="21"/>
      <c r="J51" s="20"/>
      <c r="K51" s="20"/>
      <c r="L51" s="20"/>
      <c r="M51" s="20"/>
      <c r="N51" s="20"/>
      <c r="O51" s="20"/>
    </row>
    <row r="52" spans="1:15" s="28" customFormat="1" ht="25.5">
      <c r="A52" s="75" t="s">
        <v>581</v>
      </c>
      <c r="B52" s="81" t="s">
        <v>690</v>
      </c>
      <c r="C52" s="70" t="s">
        <v>42</v>
      </c>
      <c r="D52" s="70">
        <f>D41</f>
        <v>101.4</v>
      </c>
      <c r="E52" s="185"/>
      <c r="F52" s="21"/>
      <c r="G52" s="185"/>
      <c r="H52" s="185"/>
      <c r="I52" s="185"/>
      <c r="J52" s="21"/>
      <c r="K52" s="202"/>
      <c r="L52" s="21"/>
      <c r="M52" s="21"/>
      <c r="N52" s="21"/>
      <c r="O52" s="21"/>
    </row>
    <row r="53" spans="1:15" s="28" customFormat="1" ht="25.5">
      <c r="A53" s="75" t="s">
        <v>582</v>
      </c>
      <c r="B53" s="85" t="s">
        <v>689</v>
      </c>
      <c r="C53" s="88" t="s">
        <v>12</v>
      </c>
      <c r="D53" s="105">
        <f>ROUND((D44*0.12+D45*0.18+D46*0.2434),1)</f>
        <v>36.8</v>
      </c>
      <c r="E53" s="196"/>
      <c r="F53" s="20"/>
      <c r="G53" s="196"/>
      <c r="H53" s="196"/>
      <c r="I53" s="196"/>
      <c r="J53" s="20"/>
      <c r="K53" s="20"/>
      <c r="L53" s="20"/>
      <c r="M53" s="20"/>
      <c r="N53" s="20"/>
      <c r="O53" s="38"/>
    </row>
    <row r="54" spans="1:15" s="28" customFormat="1" ht="12.75">
      <c r="A54" s="75" t="s">
        <v>583</v>
      </c>
      <c r="B54" s="89" t="s">
        <v>86</v>
      </c>
      <c r="C54" s="70" t="s">
        <v>33</v>
      </c>
      <c r="D54" s="70">
        <f>D40</f>
        <v>128.2</v>
      </c>
      <c r="E54" s="183"/>
      <c r="F54" s="21"/>
      <c r="G54" s="185"/>
      <c r="H54" s="183"/>
      <c r="I54" s="21"/>
      <c r="J54" s="21"/>
      <c r="K54" s="202"/>
      <c r="L54" s="21"/>
      <c r="M54" s="21"/>
      <c r="N54" s="21"/>
      <c r="O54" s="36"/>
    </row>
    <row r="55" spans="1:15" s="28" customFormat="1" ht="13.5" thickBot="1">
      <c r="A55" s="75" t="s">
        <v>584</v>
      </c>
      <c r="B55" s="90" t="s">
        <v>17</v>
      </c>
      <c r="C55" s="25" t="s">
        <v>33</v>
      </c>
      <c r="D55" s="70">
        <f>D54</f>
        <v>128.2</v>
      </c>
      <c r="E55" s="196"/>
      <c r="F55" s="20"/>
      <c r="G55" s="196"/>
      <c r="H55" s="196"/>
      <c r="I55" s="21"/>
      <c r="J55" s="20"/>
      <c r="K55" s="20"/>
      <c r="L55" s="20"/>
      <c r="M55" s="20"/>
      <c r="N55" s="20"/>
      <c r="O55" s="38"/>
    </row>
    <row r="56" spans="1:15" s="28" customFormat="1" ht="14.25" customHeight="1" thickBot="1">
      <c r="A56" s="312" t="s">
        <v>202</v>
      </c>
      <c r="B56" s="313"/>
      <c r="C56" s="313"/>
      <c r="D56" s="313"/>
      <c r="E56" s="86"/>
      <c r="F56" s="70"/>
      <c r="G56" s="16"/>
      <c r="H56" s="16"/>
      <c r="I56" s="70"/>
      <c r="J56" s="21"/>
      <c r="K56" s="21"/>
      <c r="L56" s="21"/>
      <c r="M56" s="21"/>
      <c r="N56" s="21"/>
      <c r="O56" s="36"/>
    </row>
    <row r="57" spans="1:15" s="28" customFormat="1" ht="38.25">
      <c r="A57" s="75" t="s">
        <v>585</v>
      </c>
      <c r="B57" s="81" t="s">
        <v>196</v>
      </c>
      <c r="C57" s="70" t="s">
        <v>16</v>
      </c>
      <c r="D57" s="70">
        <f>SUM(D58:D58)</f>
        <v>6</v>
      </c>
      <c r="E57" s="185"/>
      <c r="F57" s="21"/>
      <c r="G57" s="185"/>
      <c r="H57" s="185"/>
      <c r="I57" s="21"/>
      <c r="J57" s="21"/>
      <c r="K57" s="202"/>
      <c r="L57" s="21"/>
      <c r="M57" s="21"/>
      <c r="N57" s="21"/>
      <c r="O57" s="36"/>
    </row>
    <row r="58" spans="1:15" s="28" customFormat="1" ht="25.5">
      <c r="A58" s="75" t="s">
        <v>586</v>
      </c>
      <c r="B58" s="93" t="s">
        <v>178</v>
      </c>
      <c r="C58" s="25" t="s">
        <v>32</v>
      </c>
      <c r="D58" s="25">
        <v>6</v>
      </c>
      <c r="E58" s="184"/>
      <c r="F58" s="20"/>
      <c r="G58" s="184"/>
      <c r="H58" s="184"/>
      <c r="I58" s="21"/>
      <c r="J58" s="20"/>
      <c r="K58" s="20"/>
      <c r="L58" s="20"/>
      <c r="M58" s="20"/>
      <c r="N58" s="20"/>
      <c r="O58" s="20"/>
    </row>
    <row r="59" spans="1:15" s="28" customFormat="1" ht="38.25">
      <c r="A59" s="75" t="s">
        <v>587</v>
      </c>
      <c r="B59" s="81" t="s">
        <v>670</v>
      </c>
      <c r="C59" s="70" t="s">
        <v>16</v>
      </c>
      <c r="D59" s="70">
        <v>4</v>
      </c>
      <c r="E59" s="185"/>
      <c r="F59" s="21"/>
      <c r="G59" s="185"/>
      <c r="H59" s="185"/>
      <c r="I59" s="21"/>
      <c r="J59" s="21"/>
      <c r="K59" s="202"/>
      <c r="L59" s="21"/>
      <c r="M59" s="21"/>
      <c r="N59" s="21"/>
      <c r="O59" s="36"/>
    </row>
    <row r="60" spans="1:15" s="28" customFormat="1" ht="38.25">
      <c r="A60" s="75" t="s">
        <v>588</v>
      </c>
      <c r="B60" s="93" t="s">
        <v>671</v>
      </c>
      <c r="C60" s="25" t="s">
        <v>672</v>
      </c>
      <c r="D60" s="70">
        <v>4</v>
      </c>
      <c r="E60" s="184"/>
      <c r="F60" s="20"/>
      <c r="G60" s="184"/>
      <c r="H60" s="97"/>
      <c r="I60" s="21"/>
      <c r="J60" s="20"/>
      <c r="K60" s="20"/>
      <c r="L60" s="20"/>
      <c r="M60" s="20"/>
      <c r="N60" s="20"/>
      <c r="O60" s="20"/>
    </row>
    <row r="61" spans="1:15" s="28" customFormat="1" ht="12.75">
      <c r="A61" s="75" t="s">
        <v>589</v>
      </c>
      <c r="B61" s="93" t="s">
        <v>185</v>
      </c>
      <c r="C61" s="25" t="s">
        <v>16</v>
      </c>
      <c r="D61" s="25">
        <f>D59</f>
        <v>4</v>
      </c>
      <c r="E61" s="184"/>
      <c r="F61" s="20"/>
      <c r="G61" s="184"/>
      <c r="H61" s="97"/>
      <c r="I61" s="21"/>
      <c r="J61" s="20"/>
      <c r="K61" s="20"/>
      <c r="L61" s="20"/>
      <c r="M61" s="20"/>
      <c r="N61" s="20"/>
      <c r="O61" s="20"/>
    </row>
    <row r="62" spans="1:15" s="28" customFormat="1" ht="14.25">
      <c r="A62" s="75" t="s">
        <v>590</v>
      </c>
      <c r="B62" s="7" t="s">
        <v>1</v>
      </c>
      <c r="C62" s="25" t="s">
        <v>12</v>
      </c>
      <c r="D62" s="25">
        <f>ROUND(D59*0.13,1)</f>
        <v>0.5</v>
      </c>
      <c r="E62" s="196"/>
      <c r="F62" s="20"/>
      <c r="G62" s="196"/>
      <c r="H62" s="196"/>
      <c r="I62" s="21"/>
      <c r="J62" s="20"/>
      <c r="K62" s="20"/>
      <c r="L62" s="20"/>
      <c r="M62" s="20"/>
      <c r="N62" s="20"/>
      <c r="O62" s="38"/>
    </row>
    <row r="63" spans="1:15" s="28" customFormat="1" ht="15" thickBot="1">
      <c r="A63" s="75" t="s">
        <v>591</v>
      </c>
      <c r="B63" s="113" t="s">
        <v>2</v>
      </c>
      <c r="C63" s="25" t="s">
        <v>12</v>
      </c>
      <c r="D63" s="25">
        <f>ROUND(D59*0.14,1)</f>
        <v>0.6</v>
      </c>
      <c r="E63" s="196"/>
      <c r="F63" s="20"/>
      <c r="G63" s="196"/>
      <c r="H63" s="196"/>
      <c r="I63" s="21"/>
      <c r="J63" s="20"/>
      <c r="K63" s="20"/>
      <c r="L63" s="20"/>
      <c r="M63" s="20"/>
      <c r="N63" s="20"/>
      <c r="O63" s="38"/>
    </row>
    <row r="64" spans="1:15" s="28" customFormat="1" ht="15.75" thickBot="1">
      <c r="A64" s="312" t="s">
        <v>149</v>
      </c>
      <c r="B64" s="313"/>
      <c r="C64" s="313"/>
      <c r="D64" s="313"/>
      <c r="E64" s="86"/>
      <c r="F64" s="70"/>
      <c r="G64" s="16"/>
      <c r="H64" s="16"/>
      <c r="I64" s="70"/>
      <c r="J64" s="21"/>
      <c r="K64" s="21"/>
      <c r="L64" s="21"/>
      <c r="M64" s="21"/>
      <c r="N64" s="21"/>
      <c r="O64" s="36"/>
    </row>
    <row r="65" spans="1:15" s="28" customFormat="1" ht="12.75">
      <c r="A65" s="77" t="s">
        <v>592</v>
      </c>
      <c r="B65" s="81" t="s">
        <v>203</v>
      </c>
      <c r="C65" s="70" t="s">
        <v>33</v>
      </c>
      <c r="D65" s="124">
        <f>D40</f>
        <v>128.2</v>
      </c>
      <c r="E65" s="185"/>
      <c r="F65" s="21"/>
      <c r="G65" s="185"/>
      <c r="H65" s="185"/>
      <c r="I65" s="21"/>
      <c r="J65" s="21"/>
      <c r="K65" s="202"/>
      <c r="L65" s="21"/>
      <c r="M65" s="21"/>
      <c r="N65" s="21"/>
      <c r="O65" s="36"/>
    </row>
    <row r="66" spans="1:15" s="28" customFormat="1" ht="26.25" thickBot="1">
      <c r="A66" s="77" t="s">
        <v>593</v>
      </c>
      <c r="B66" s="81" t="s">
        <v>4</v>
      </c>
      <c r="C66" s="70" t="s">
        <v>16</v>
      </c>
      <c r="D66" s="124">
        <v>1</v>
      </c>
      <c r="E66" s="87"/>
      <c r="F66" s="70"/>
      <c r="G66" s="16"/>
      <c r="H66" s="16"/>
      <c r="I66" s="21"/>
      <c r="J66" s="21"/>
      <c r="K66" s="202"/>
      <c r="L66" s="21"/>
      <c r="M66" s="21"/>
      <c r="N66" s="21"/>
      <c r="O66" s="36"/>
    </row>
    <row r="67" spans="1:15" ht="14.25" customHeight="1" thickBot="1">
      <c r="A67" s="332" t="s">
        <v>101</v>
      </c>
      <c r="B67" s="333"/>
      <c r="C67" s="333"/>
      <c r="D67" s="100"/>
      <c r="E67" s="87"/>
      <c r="F67" s="70"/>
      <c r="G67" s="16"/>
      <c r="H67" s="16"/>
      <c r="I67" s="16"/>
      <c r="J67" s="21"/>
      <c r="K67" s="132"/>
      <c r="L67" s="132"/>
      <c r="M67" s="132"/>
      <c r="N67" s="132"/>
      <c r="O67" s="133"/>
    </row>
    <row r="68" spans="1:15" s="6" customFormat="1" ht="14.25">
      <c r="A68" s="77" t="s">
        <v>594</v>
      </c>
      <c r="B68" s="81" t="s">
        <v>82</v>
      </c>
      <c r="C68" s="75" t="s">
        <v>661</v>
      </c>
      <c r="D68" s="25">
        <f>D20</f>
        <v>0.2</v>
      </c>
      <c r="E68" s="185"/>
      <c r="F68" s="21"/>
      <c r="G68" s="185"/>
      <c r="H68" s="185"/>
      <c r="I68" s="185"/>
      <c r="J68" s="21"/>
      <c r="K68" s="202"/>
      <c r="L68" s="21"/>
      <c r="M68" s="21"/>
      <c r="N68" s="21"/>
      <c r="O68" s="21"/>
    </row>
    <row r="69" spans="1:15" s="6" customFormat="1" ht="14.25">
      <c r="A69" s="77" t="s">
        <v>595</v>
      </c>
      <c r="B69" s="85" t="s">
        <v>90</v>
      </c>
      <c r="C69" s="25" t="s">
        <v>12</v>
      </c>
      <c r="D69" s="98">
        <f>D68*0.15*100</f>
        <v>3</v>
      </c>
      <c r="E69" s="201"/>
      <c r="F69" s="186"/>
      <c r="G69" s="186"/>
      <c r="H69" s="187"/>
      <c r="I69" s="21"/>
      <c r="J69" s="20"/>
      <c r="K69" s="20"/>
      <c r="L69" s="20"/>
      <c r="M69" s="20"/>
      <c r="N69" s="20"/>
      <c r="O69" s="20"/>
    </row>
    <row r="70" spans="1:15" s="6" customFormat="1" ht="18.75">
      <c r="A70" s="77" t="s">
        <v>596</v>
      </c>
      <c r="B70" s="85" t="s">
        <v>13</v>
      </c>
      <c r="C70" s="25" t="s">
        <v>40</v>
      </c>
      <c r="D70" s="98">
        <f>ROUND((D68*0.03*100),1)</f>
        <v>0.6</v>
      </c>
      <c r="E70" s="201"/>
      <c r="F70" s="186"/>
      <c r="G70" s="186"/>
      <c r="H70" s="187"/>
      <c r="I70" s="21"/>
      <c r="J70" s="20"/>
      <c r="K70" s="20"/>
      <c r="L70" s="20"/>
      <c r="M70" s="20"/>
      <c r="N70" s="20"/>
      <c r="O70" s="20"/>
    </row>
    <row r="71" spans="1:15" s="6" customFormat="1" ht="14.25">
      <c r="A71" s="77" t="s">
        <v>597</v>
      </c>
      <c r="B71" s="80" t="s">
        <v>83</v>
      </c>
      <c r="C71" s="75" t="s">
        <v>79</v>
      </c>
      <c r="D71" s="98">
        <f>D21</f>
        <v>187</v>
      </c>
      <c r="E71" s="185"/>
      <c r="F71" s="21"/>
      <c r="G71" s="185"/>
      <c r="H71" s="183"/>
      <c r="I71" s="183"/>
      <c r="J71" s="21"/>
      <c r="K71" s="202"/>
      <c r="L71" s="21"/>
      <c r="M71" s="21"/>
      <c r="N71" s="21"/>
      <c r="O71" s="21"/>
    </row>
    <row r="72" spans="1:15" s="6" customFormat="1" ht="28.5" customHeight="1">
      <c r="A72" s="77" t="s">
        <v>598</v>
      </c>
      <c r="B72" s="85" t="s">
        <v>158</v>
      </c>
      <c r="C72" s="25" t="s">
        <v>12</v>
      </c>
      <c r="D72" s="98">
        <f>ROUND(D71*0.04,1)</f>
        <v>7.5</v>
      </c>
      <c r="E72" s="196"/>
      <c r="F72" s="20"/>
      <c r="G72" s="20"/>
      <c r="H72" s="196"/>
      <c r="I72" s="21"/>
      <c r="J72" s="20"/>
      <c r="K72" s="20"/>
      <c r="L72" s="20"/>
      <c r="M72" s="20"/>
      <c r="N72" s="20"/>
      <c r="O72" s="20"/>
    </row>
    <row r="73" spans="1:15" s="6" customFormat="1" ht="28.5" customHeight="1">
      <c r="A73" s="77" t="s">
        <v>599</v>
      </c>
      <c r="B73" s="85" t="s">
        <v>159</v>
      </c>
      <c r="C73" s="25" t="s">
        <v>12</v>
      </c>
      <c r="D73" s="98">
        <f>ROUND(D71*0.05,1)</f>
        <v>9.4</v>
      </c>
      <c r="E73" s="183"/>
      <c r="F73" s="21"/>
      <c r="G73" s="21"/>
      <c r="H73" s="196"/>
      <c r="I73" s="20"/>
      <c r="J73" s="20"/>
      <c r="K73" s="20"/>
      <c r="L73" s="20"/>
      <c r="M73" s="20"/>
      <c r="N73" s="20"/>
      <c r="O73" s="20"/>
    </row>
    <row r="74" spans="1:15" s="6" customFormat="1" ht="28.5" customHeight="1">
      <c r="A74" s="77" t="s">
        <v>735</v>
      </c>
      <c r="B74" s="85" t="s">
        <v>96</v>
      </c>
      <c r="C74" s="70" t="s">
        <v>150</v>
      </c>
      <c r="D74" s="98">
        <f>D71*0.2</f>
        <v>37.4</v>
      </c>
      <c r="E74" s="196"/>
      <c r="F74" s="20"/>
      <c r="G74" s="20"/>
      <c r="H74" s="196"/>
      <c r="I74" s="196"/>
      <c r="J74" s="20"/>
      <c r="K74" s="20"/>
      <c r="L74" s="20"/>
      <c r="M74" s="20"/>
      <c r="N74" s="20"/>
      <c r="O74" s="20"/>
    </row>
    <row r="75" spans="1:15" s="6" customFormat="1" ht="28.5" customHeight="1">
      <c r="A75" s="77" t="s">
        <v>736</v>
      </c>
      <c r="B75" s="85" t="s">
        <v>97</v>
      </c>
      <c r="C75" s="70" t="s">
        <v>150</v>
      </c>
      <c r="D75" s="25">
        <f>D71*0.3</f>
        <v>56.1</v>
      </c>
      <c r="E75" s="198"/>
      <c r="F75" s="20"/>
      <c r="G75" s="20"/>
      <c r="H75" s="198"/>
      <c r="I75" s="199"/>
      <c r="J75" s="200"/>
      <c r="K75" s="200"/>
      <c r="L75" s="200"/>
      <c r="M75" s="200"/>
      <c r="N75" s="200"/>
      <c r="O75" s="200"/>
    </row>
    <row r="76" spans="1:15" s="64" customFormat="1" ht="15.75" thickBot="1">
      <c r="A76" s="181"/>
      <c r="B76" s="169"/>
      <c r="C76" s="189"/>
      <c r="D76" s="189"/>
      <c r="E76" s="170"/>
      <c r="F76" s="190"/>
      <c r="G76" s="190"/>
      <c r="H76" s="170"/>
      <c r="I76" s="190"/>
      <c r="J76" s="190"/>
      <c r="K76" s="190"/>
      <c r="L76" s="190"/>
      <c r="M76" s="190"/>
      <c r="N76" s="190"/>
      <c r="O76" s="190"/>
    </row>
    <row r="77" spans="1:15" s="64" customFormat="1" ht="13.5" thickTop="1">
      <c r="A77" s="173"/>
      <c r="B77" s="96" t="s">
        <v>654</v>
      </c>
      <c r="C77" s="174"/>
      <c r="D77" s="175"/>
      <c r="E77" s="176"/>
      <c r="F77" s="176"/>
      <c r="G77" s="176"/>
      <c r="H77" s="176"/>
      <c r="I77" s="176"/>
      <c r="J77" s="177"/>
      <c r="K77" s="178"/>
      <c r="L77" s="178"/>
      <c r="M77" s="178"/>
      <c r="N77" s="178"/>
      <c r="O77" s="178"/>
    </row>
    <row r="78" spans="1:15" s="64" customFormat="1" ht="25.5">
      <c r="A78" s="47"/>
      <c r="B78" s="171" t="s">
        <v>662</v>
      </c>
      <c r="C78" s="191"/>
      <c r="D78" s="17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</row>
    <row r="79" spans="1:15" s="64" customFormat="1" ht="12.75">
      <c r="A79" s="46" t="s">
        <v>34</v>
      </c>
      <c r="B79" s="188" t="s">
        <v>654</v>
      </c>
      <c r="C79" s="191"/>
      <c r="D79" s="172"/>
      <c r="E79" s="182"/>
      <c r="F79" s="182"/>
      <c r="G79" s="182"/>
      <c r="H79" s="182"/>
      <c r="I79" s="182"/>
      <c r="J79" s="182"/>
      <c r="K79" s="195"/>
      <c r="L79" s="195"/>
      <c r="M79" s="195"/>
      <c r="N79" s="195"/>
      <c r="O79" s="195"/>
    </row>
    <row r="80" spans="1:4" s="64" customFormat="1" ht="12.75">
      <c r="A80" s="48" t="s">
        <v>35</v>
      </c>
      <c r="B80" s="12"/>
      <c r="C80" s="63"/>
      <c r="D80" s="65"/>
    </row>
    <row r="81" spans="1:4" s="64" customFormat="1" ht="12.75">
      <c r="A81" s="48" t="s">
        <v>18</v>
      </c>
      <c r="B81" s="66"/>
      <c r="C81" s="66"/>
      <c r="D81" s="65"/>
    </row>
    <row r="82" spans="1:4" s="64" customFormat="1" ht="12.75">
      <c r="A82" s="48" t="s">
        <v>19</v>
      </c>
      <c r="B82" s="66"/>
      <c r="C82" s="66"/>
      <c r="D82" s="65"/>
    </row>
    <row r="83" spans="1:4" s="64" customFormat="1" ht="12.75">
      <c r="A83" s="48" t="s">
        <v>36</v>
      </c>
      <c r="B83" s="66"/>
      <c r="C83" s="66"/>
      <c r="D83" s="65"/>
    </row>
    <row r="84" spans="1:4" s="64" customFormat="1" ht="12.75">
      <c r="A84" s="48" t="s">
        <v>37</v>
      </c>
      <c r="B84" s="66"/>
      <c r="C84" s="66"/>
      <c r="D84" s="65"/>
    </row>
    <row r="85" spans="1:4" s="64" customFormat="1" ht="12.75">
      <c r="A85" s="48" t="s">
        <v>38</v>
      </c>
      <c r="B85" s="66"/>
      <c r="C85" s="66"/>
      <c r="D85" s="65"/>
    </row>
    <row r="86" spans="1:4" s="64" customFormat="1" ht="12.75">
      <c r="A86" s="48" t="s">
        <v>39</v>
      </c>
      <c r="B86" s="66"/>
      <c r="C86" s="66"/>
      <c r="D86" s="65"/>
    </row>
    <row r="87" spans="1:4" ht="12.75">
      <c r="A87" s="11" t="s">
        <v>20</v>
      </c>
      <c r="B87" s="67"/>
      <c r="C87" s="67"/>
      <c r="D87" s="68"/>
    </row>
    <row r="88" spans="2:3" ht="12.75">
      <c r="B88" s="67"/>
      <c r="C88" s="67"/>
    </row>
    <row r="89" spans="1:3" ht="12.75">
      <c r="A89" s="31" t="s">
        <v>7</v>
      </c>
      <c r="B89" s="180"/>
      <c r="C89" s="67"/>
    </row>
    <row r="90" ht="12.75">
      <c r="A90" s="31"/>
    </row>
    <row r="91" spans="1:2" ht="12.75">
      <c r="A91" s="31" t="s">
        <v>6</v>
      </c>
      <c r="B91" s="69"/>
    </row>
    <row r="92" spans="1:2" ht="12.75">
      <c r="A92" s="31"/>
      <c r="B92" s="31"/>
    </row>
    <row r="93" ht="12.75">
      <c r="B93" s="30"/>
    </row>
    <row r="94" ht="12.75">
      <c r="B94" s="30"/>
    </row>
  </sheetData>
  <sheetProtection/>
  <mergeCells count="26">
    <mergeCell ref="A38:D38"/>
    <mergeCell ref="A67:C67"/>
    <mergeCell ref="A64:D64"/>
    <mergeCell ref="A56:D56"/>
    <mergeCell ref="A39:D39"/>
    <mergeCell ref="A22:D22"/>
    <mergeCell ref="A27:D27"/>
    <mergeCell ref="A31:D31"/>
    <mergeCell ref="A33:D33"/>
    <mergeCell ref="G8:I8"/>
    <mergeCell ref="J8:L8"/>
    <mergeCell ref="A14:D14"/>
    <mergeCell ref="A19:D19"/>
    <mergeCell ref="E9:J9"/>
    <mergeCell ref="K9:O9"/>
    <mergeCell ref="A13:D13"/>
    <mergeCell ref="A2:B2"/>
    <mergeCell ref="B5:D5"/>
    <mergeCell ref="B6:D6"/>
    <mergeCell ref="A9:A10"/>
    <mergeCell ref="B9:B10"/>
    <mergeCell ref="C9:C10"/>
    <mergeCell ref="D9:D10"/>
    <mergeCell ref="B7:D7"/>
    <mergeCell ref="B8:D8"/>
    <mergeCell ref="A3:D3"/>
  </mergeCells>
  <printOptions horizontalCentered="1"/>
  <pageMargins left="0.3937007874015748" right="0.3937007874015748" top="0.7874015748031497" bottom="0.5905511811023623" header="0.31496062992125984" footer="0.3937007874015748"/>
  <pageSetup fitToHeight="0" fitToWidth="1" horizontalDpi="600" verticalDpi="600" orientation="landscape" paperSize="9" scale="81" r:id="rId1"/>
  <headerFooter alignWithMargins="0">
    <oddFooter>&amp;CLapaspuse &amp;P no &amp;N&amp;R&amp;A</oddFooter>
  </headerFooter>
  <rowBreaks count="1" manualBreakCount="1">
    <brk id="66" max="255" man="1"/>
  </rowBreaks>
  <ignoredErrors>
    <ignoredError sqref="D4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92"/>
  <sheetViews>
    <sheetView view="pageBreakPreview" zoomScaleSheetLayoutView="100" zoomScalePageLayoutView="0" workbookViewId="0" topLeftCell="A64">
      <pane xSplit="4" topLeftCell="E1" activePane="topRight" state="frozen"/>
      <selection pane="topLeft" activeCell="A2" sqref="A2"/>
      <selection pane="topRight" activeCell="C76" sqref="C76"/>
    </sheetView>
  </sheetViews>
  <sheetFormatPr defaultColWidth="9.140625" defaultRowHeight="12.75" outlineLevelRow="1"/>
  <cols>
    <col min="1" max="1" width="13.8515625" style="130" customWidth="1"/>
    <col min="2" max="2" width="43.8515625" style="130" customWidth="1"/>
    <col min="3" max="3" width="9.8515625" style="130" customWidth="1"/>
    <col min="4" max="4" width="9.8515625" style="67" customWidth="1"/>
    <col min="5" max="5" width="7.7109375" style="130" customWidth="1"/>
    <col min="6" max="6" width="6.140625" style="130" customWidth="1"/>
    <col min="7" max="7" width="8.00390625" style="130" customWidth="1"/>
    <col min="8" max="8" width="9.421875" style="130" customWidth="1"/>
    <col min="9" max="9" width="7.00390625" style="130" customWidth="1"/>
    <col min="10" max="10" width="9.57421875" style="130" customWidth="1"/>
    <col min="11" max="12" width="9.421875" style="130" bestFit="1" customWidth="1"/>
    <col min="13" max="13" width="10.8515625" style="130" customWidth="1"/>
    <col min="14" max="14" width="9.421875" style="130" bestFit="1" customWidth="1"/>
    <col min="15" max="15" width="10.421875" style="130" bestFit="1" customWidth="1"/>
    <col min="16" max="16" width="10.28125" style="130" bestFit="1" customWidth="1"/>
    <col min="17" max="16384" width="9.140625" style="130" customWidth="1"/>
  </cols>
  <sheetData>
    <row r="1" spans="6:9" ht="12.75" outlineLevel="1">
      <c r="F1" s="130">
        <v>5.41</v>
      </c>
      <c r="I1" s="131">
        <v>0.08</v>
      </c>
    </row>
    <row r="2" spans="1:15" s="31" customFormat="1" ht="15.75" thickBot="1">
      <c r="A2" s="330" t="s">
        <v>701</v>
      </c>
      <c r="B2" s="33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31" customFormat="1" ht="14.25" customHeight="1" thickTop="1">
      <c r="A3" s="329" t="s">
        <v>646</v>
      </c>
      <c r="B3" s="329"/>
      <c r="C3" s="329"/>
      <c r="D3" s="32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31" customFormat="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31" customFormat="1" ht="42.75" customHeight="1">
      <c r="A5" s="41" t="s">
        <v>21</v>
      </c>
      <c r="B5" s="331" t="s">
        <v>163</v>
      </c>
      <c r="C5" s="331"/>
      <c r="D5" s="331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31" customFormat="1" ht="12.75">
      <c r="A6" s="8" t="s">
        <v>22</v>
      </c>
      <c r="B6" s="320" t="str">
        <f>'LKT-8;Liliju'!B6:D6</f>
        <v>KDS "Ziedonis", Katlakalns, Ķekavas pagasts, Ķekavas novads</v>
      </c>
      <c r="C6" s="320"/>
      <c r="D6" s="320"/>
      <c r="E6" s="14"/>
      <c r="F6" s="14"/>
      <c r="G6" s="14"/>
      <c r="H6" s="14"/>
      <c r="I6" s="14"/>
      <c r="J6" s="14"/>
      <c r="K6" s="14"/>
      <c r="L6" s="8"/>
      <c r="M6" s="8"/>
      <c r="N6" s="8"/>
      <c r="O6" s="8"/>
    </row>
    <row r="7" spans="1:15" s="31" customFormat="1" ht="12.75">
      <c r="A7" s="8"/>
      <c r="B7" s="320"/>
      <c r="C7" s="320"/>
      <c r="D7" s="320"/>
      <c r="E7" s="50"/>
      <c r="F7" s="50"/>
      <c r="H7" s="1"/>
      <c r="I7" s="17" t="s">
        <v>8</v>
      </c>
      <c r="J7" s="2">
        <f>O77</f>
        <v>0</v>
      </c>
      <c r="K7" s="1" t="s">
        <v>685</v>
      </c>
      <c r="L7" s="53"/>
      <c r="M7" s="8"/>
      <c r="N7" s="8"/>
      <c r="O7" s="8"/>
    </row>
    <row r="8" spans="1:15" s="31" customFormat="1" ht="13.5" thickBot="1">
      <c r="A8" s="8"/>
      <c r="B8" s="320"/>
      <c r="C8" s="320"/>
      <c r="D8" s="320"/>
      <c r="E8" s="52"/>
      <c r="F8" s="53"/>
      <c r="G8" s="322" t="s">
        <v>663</v>
      </c>
      <c r="H8" s="322"/>
      <c r="I8" s="322"/>
      <c r="J8" s="323"/>
      <c r="K8" s="323"/>
      <c r="L8" s="323"/>
      <c r="M8" s="53"/>
      <c r="N8" s="53"/>
      <c r="O8" s="53"/>
    </row>
    <row r="9" spans="1:15" s="31" customFormat="1" ht="18.75" customHeight="1">
      <c r="A9" s="324" t="s">
        <v>24</v>
      </c>
      <c r="B9" s="318" t="s">
        <v>25</v>
      </c>
      <c r="C9" s="327" t="s">
        <v>26</v>
      </c>
      <c r="D9" s="327" t="s">
        <v>27</v>
      </c>
      <c r="E9" s="318" t="s">
        <v>28</v>
      </c>
      <c r="F9" s="318"/>
      <c r="G9" s="318"/>
      <c r="H9" s="318"/>
      <c r="I9" s="318"/>
      <c r="J9" s="318"/>
      <c r="K9" s="318" t="s">
        <v>29</v>
      </c>
      <c r="L9" s="318" t="s">
        <v>29</v>
      </c>
      <c r="M9" s="318"/>
      <c r="N9" s="318"/>
      <c r="O9" s="321"/>
    </row>
    <row r="10" spans="1:15" s="31" customFormat="1" ht="86.25" customHeight="1" thickBot="1">
      <c r="A10" s="325"/>
      <c r="B10" s="326"/>
      <c r="C10" s="328"/>
      <c r="D10" s="328"/>
      <c r="E10" s="32" t="s">
        <v>30</v>
      </c>
      <c r="F10" s="32" t="s">
        <v>678</v>
      </c>
      <c r="G10" s="32" t="s">
        <v>677</v>
      </c>
      <c r="H10" s="56" t="s">
        <v>679</v>
      </c>
      <c r="I10" s="32" t="s">
        <v>680</v>
      </c>
      <c r="J10" s="32" t="s">
        <v>681</v>
      </c>
      <c r="K10" s="32" t="s">
        <v>31</v>
      </c>
      <c r="L10" s="32" t="s">
        <v>682</v>
      </c>
      <c r="M10" s="32" t="s">
        <v>683</v>
      </c>
      <c r="N10" s="32" t="s">
        <v>680</v>
      </c>
      <c r="O10" s="57" t="s">
        <v>684</v>
      </c>
    </row>
    <row r="11" spans="1:15" s="3" customFormat="1" ht="15" customHeight="1" thickBot="1">
      <c r="A11" s="58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  <c r="G11" s="59">
        <v>7</v>
      </c>
      <c r="H11" s="59">
        <v>8</v>
      </c>
      <c r="I11" s="59">
        <v>9</v>
      </c>
      <c r="J11" s="59">
        <v>10</v>
      </c>
      <c r="K11" s="59">
        <v>11</v>
      </c>
      <c r="L11" s="59">
        <v>12</v>
      </c>
      <c r="M11" s="59">
        <v>13</v>
      </c>
      <c r="N11" s="59">
        <v>14</v>
      </c>
      <c r="O11" s="60">
        <v>15</v>
      </c>
    </row>
    <row r="12" spans="1:15" s="44" customFormat="1" ht="15" customHeight="1" thickBot="1">
      <c r="A12" s="71"/>
      <c r="B12" s="71"/>
      <c r="C12" s="71"/>
      <c r="D12" s="71"/>
      <c r="E12" s="72"/>
      <c r="F12" s="72"/>
      <c r="G12" s="72"/>
      <c r="H12" s="72"/>
      <c r="I12" s="72"/>
      <c r="J12" s="61"/>
      <c r="K12" s="61"/>
      <c r="L12" s="61"/>
      <c r="M12" s="61"/>
      <c r="N12" s="61"/>
      <c r="O12" s="61"/>
    </row>
    <row r="13" spans="1:15" s="45" customFormat="1" ht="15" customHeight="1" thickBot="1">
      <c r="A13" s="314" t="s">
        <v>107</v>
      </c>
      <c r="B13" s="315"/>
      <c r="C13" s="315"/>
      <c r="D13" s="315"/>
      <c r="E13" s="73"/>
      <c r="F13" s="72"/>
      <c r="G13" s="72"/>
      <c r="H13" s="72"/>
      <c r="I13" s="72"/>
      <c r="J13" s="61"/>
      <c r="K13" s="61"/>
      <c r="L13" s="61"/>
      <c r="M13" s="61"/>
      <c r="N13" s="61"/>
      <c r="O13" s="62"/>
    </row>
    <row r="14" spans="1:15" s="3" customFormat="1" ht="15" customHeight="1" thickBot="1">
      <c r="A14" s="312" t="s">
        <v>106</v>
      </c>
      <c r="B14" s="313"/>
      <c r="C14" s="313"/>
      <c r="D14" s="319"/>
      <c r="E14" s="74"/>
      <c r="F14" s="75"/>
      <c r="G14" s="15"/>
      <c r="H14" s="15"/>
      <c r="I14" s="15"/>
      <c r="J14" s="42"/>
      <c r="K14" s="42"/>
      <c r="L14" s="42"/>
      <c r="M14" s="42"/>
      <c r="N14" s="42"/>
      <c r="O14" s="43"/>
    </row>
    <row r="15" spans="1:15" s="27" customFormat="1" ht="12.75">
      <c r="A15" s="70" t="s">
        <v>600</v>
      </c>
      <c r="B15" s="76" t="s">
        <v>50</v>
      </c>
      <c r="C15" s="70" t="s">
        <v>32</v>
      </c>
      <c r="D15" s="70">
        <v>1</v>
      </c>
      <c r="E15" s="185"/>
      <c r="F15" s="21"/>
      <c r="G15" s="185"/>
      <c r="H15" s="193"/>
      <c r="I15" s="21"/>
      <c r="J15" s="21"/>
      <c r="K15" s="21"/>
      <c r="L15" s="21"/>
      <c r="M15" s="21"/>
      <c r="N15" s="21"/>
      <c r="O15" s="21"/>
    </row>
    <row r="16" spans="1:15" s="27" customFormat="1" ht="25.5">
      <c r="A16" s="70" t="s">
        <v>601</v>
      </c>
      <c r="B16" s="78" t="s">
        <v>186</v>
      </c>
      <c r="C16" s="75" t="s">
        <v>16</v>
      </c>
      <c r="D16" s="70">
        <v>3</v>
      </c>
      <c r="E16" s="185"/>
      <c r="F16" s="21"/>
      <c r="G16" s="183"/>
      <c r="H16" s="183"/>
      <c r="I16" s="21"/>
      <c r="J16" s="21"/>
      <c r="K16" s="21"/>
      <c r="L16" s="21"/>
      <c r="M16" s="21"/>
      <c r="N16" s="21"/>
      <c r="O16" s="36"/>
    </row>
    <row r="17" spans="1:15" s="27" customFormat="1" ht="13.5" thickBot="1">
      <c r="A17" s="70" t="s">
        <v>602</v>
      </c>
      <c r="B17" s="78" t="s">
        <v>45</v>
      </c>
      <c r="C17" s="79" t="s">
        <v>46</v>
      </c>
      <c r="D17" s="70">
        <v>1</v>
      </c>
      <c r="E17" s="21"/>
      <c r="F17" s="21"/>
      <c r="G17" s="185"/>
      <c r="H17" s="193"/>
      <c r="I17" s="21"/>
      <c r="J17" s="21"/>
      <c r="K17" s="202"/>
      <c r="L17" s="21"/>
      <c r="M17" s="21"/>
      <c r="N17" s="21"/>
      <c r="O17" s="21"/>
    </row>
    <row r="18" spans="1:15" ht="14.25" customHeight="1" thickBot="1">
      <c r="A18" s="312" t="s">
        <v>105</v>
      </c>
      <c r="B18" s="313"/>
      <c r="C18" s="313"/>
      <c r="D18" s="319"/>
      <c r="E18" s="74"/>
      <c r="F18" s="75"/>
      <c r="G18" s="15"/>
      <c r="H18" s="15"/>
      <c r="I18" s="15"/>
      <c r="J18" s="42"/>
      <c r="K18" s="132"/>
      <c r="L18" s="132"/>
      <c r="M18" s="132"/>
      <c r="N18" s="132"/>
      <c r="O18" s="133"/>
    </row>
    <row r="19" spans="1:15" s="27" customFormat="1" ht="25.5">
      <c r="A19" s="77" t="s">
        <v>603</v>
      </c>
      <c r="B19" s="10" t="s">
        <v>155</v>
      </c>
      <c r="C19" s="79" t="s">
        <v>48</v>
      </c>
      <c r="D19" s="70">
        <f>3*1.2</f>
        <v>3.5999999999999996</v>
      </c>
      <c r="E19" s="203"/>
      <c r="F19" s="21"/>
      <c r="G19" s="185"/>
      <c r="H19" s="183"/>
      <c r="I19" s="203"/>
      <c r="J19" s="21"/>
      <c r="K19" s="202"/>
      <c r="L19" s="21"/>
      <c r="M19" s="21"/>
      <c r="N19" s="21"/>
      <c r="O19" s="36"/>
    </row>
    <row r="20" spans="1:15" s="27" customFormat="1" ht="26.25" thickBot="1">
      <c r="A20" s="77" t="s">
        <v>604</v>
      </c>
      <c r="B20" s="4" t="s">
        <v>161</v>
      </c>
      <c r="C20" s="22" t="s">
        <v>48</v>
      </c>
      <c r="D20" s="70">
        <v>2.5</v>
      </c>
      <c r="E20" s="197"/>
      <c r="F20" s="21"/>
      <c r="G20" s="185"/>
      <c r="H20" s="183"/>
      <c r="I20" s="21"/>
      <c r="J20" s="21"/>
      <c r="K20" s="202"/>
      <c r="L20" s="21"/>
      <c r="M20" s="21"/>
      <c r="N20" s="21"/>
      <c r="O20" s="21"/>
    </row>
    <row r="21" spans="1:15" ht="62.25" customHeight="1" thickBot="1">
      <c r="A21" s="312" t="s">
        <v>104</v>
      </c>
      <c r="B21" s="313"/>
      <c r="C21" s="313"/>
      <c r="D21" s="319"/>
      <c r="E21" s="16"/>
      <c r="F21" s="70"/>
      <c r="G21" s="16"/>
      <c r="H21" s="16"/>
      <c r="I21" s="16"/>
      <c r="J21" s="21"/>
      <c r="K21" s="21"/>
      <c r="L21" s="132"/>
      <c r="M21" s="132"/>
      <c r="N21" s="132"/>
      <c r="O21" s="133"/>
    </row>
    <row r="22" spans="1:15" s="27" customFormat="1" ht="12.75">
      <c r="A22" s="77" t="s">
        <v>605</v>
      </c>
      <c r="B22" s="82" t="s">
        <v>11</v>
      </c>
      <c r="C22" s="83" t="s">
        <v>41</v>
      </c>
      <c r="D22" s="125">
        <v>1</v>
      </c>
      <c r="E22" s="42"/>
      <c r="F22" s="192"/>
      <c r="G22" s="185"/>
      <c r="H22" s="194"/>
      <c r="I22" s="183"/>
      <c r="J22" s="42"/>
      <c r="K22" s="202"/>
      <c r="L22" s="21"/>
      <c r="M22" s="21"/>
      <c r="N22" s="21"/>
      <c r="O22" s="21"/>
    </row>
    <row r="23" spans="1:15" s="27" customFormat="1" ht="12.75">
      <c r="A23" s="77" t="s">
        <v>606</v>
      </c>
      <c r="B23" s="82" t="s">
        <v>66</v>
      </c>
      <c r="C23" s="83" t="s">
        <v>41</v>
      </c>
      <c r="D23" s="125">
        <v>1</v>
      </c>
      <c r="E23" s="42"/>
      <c r="F23" s="192"/>
      <c r="G23" s="185"/>
      <c r="H23" s="194"/>
      <c r="I23" s="183"/>
      <c r="J23" s="42"/>
      <c r="K23" s="202"/>
      <c r="L23" s="21"/>
      <c r="M23" s="21"/>
      <c r="N23" s="21"/>
      <c r="O23" s="21"/>
    </row>
    <row r="24" spans="1:15" s="27" customFormat="1" ht="12.75">
      <c r="A24" s="77" t="s">
        <v>607</v>
      </c>
      <c r="B24" s="82" t="s">
        <v>14</v>
      </c>
      <c r="C24" s="83" t="s">
        <v>41</v>
      </c>
      <c r="D24" s="125">
        <v>5</v>
      </c>
      <c r="E24" s="42"/>
      <c r="F24" s="192"/>
      <c r="G24" s="185"/>
      <c r="H24" s="194"/>
      <c r="I24" s="183"/>
      <c r="J24" s="42"/>
      <c r="K24" s="202"/>
      <c r="L24" s="21"/>
      <c r="M24" s="21"/>
      <c r="N24" s="21"/>
      <c r="O24" s="21"/>
    </row>
    <row r="25" spans="1:15" s="27" customFormat="1" ht="13.5" thickBot="1">
      <c r="A25" s="77" t="s">
        <v>608</v>
      </c>
      <c r="B25" s="85" t="s">
        <v>69</v>
      </c>
      <c r="C25" s="25" t="s">
        <v>16</v>
      </c>
      <c r="D25" s="125">
        <v>1</v>
      </c>
      <c r="E25" s="184"/>
      <c r="F25" s="20"/>
      <c r="G25" s="185"/>
      <c r="H25" s="184"/>
      <c r="I25" s="21"/>
      <c r="J25" s="20"/>
      <c r="K25" s="20"/>
      <c r="L25" s="20"/>
      <c r="M25" s="20"/>
      <c r="N25" s="20"/>
      <c r="O25" s="20"/>
    </row>
    <row r="26" spans="1:15" ht="48.75" customHeight="1" thickBot="1">
      <c r="A26" s="312" t="s">
        <v>160</v>
      </c>
      <c r="B26" s="313"/>
      <c r="C26" s="313"/>
      <c r="D26" s="319"/>
      <c r="E26" s="86"/>
      <c r="F26" s="70"/>
      <c r="G26" s="16"/>
      <c r="H26" s="16"/>
      <c r="I26" s="16"/>
      <c r="J26" s="21"/>
      <c r="K26" s="132"/>
      <c r="L26" s="132"/>
      <c r="M26" s="132"/>
      <c r="N26" s="132"/>
      <c r="O26" s="133"/>
    </row>
    <row r="27" spans="1:15" s="27" customFormat="1" ht="12.75">
      <c r="A27" s="77" t="s">
        <v>609</v>
      </c>
      <c r="B27" s="80" t="s">
        <v>164</v>
      </c>
      <c r="C27" s="70" t="s">
        <v>33</v>
      </c>
      <c r="D27" s="70">
        <f>D40-D28</f>
        <v>222</v>
      </c>
      <c r="E27" s="185"/>
      <c r="F27" s="21"/>
      <c r="G27" s="21"/>
      <c r="H27" s="183"/>
      <c r="I27" s="183"/>
      <c r="J27" s="21"/>
      <c r="K27" s="21"/>
      <c r="L27" s="21"/>
      <c r="M27" s="21"/>
      <c r="N27" s="21"/>
      <c r="O27" s="36"/>
    </row>
    <row r="28" spans="1:15" s="27" customFormat="1" ht="12.75">
      <c r="A28" s="77" t="s">
        <v>610</v>
      </c>
      <c r="B28" s="80" t="s">
        <v>204</v>
      </c>
      <c r="C28" s="70" t="s">
        <v>33</v>
      </c>
      <c r="D28" s="70">
        <v>40</v>
      </c>
      <c r="E28" s="185"/>
      <c r="F28" s="21"/>
      <c r="G28" s="21"/>
      <c r="H28" s="183"/>
      <c r="I28" s="183"/>
      <c r="J28" s="21"/>
      <c r="K28" s="21"/>
      <c r="L28" s="21"/>
      <c r="M28" s="21"/>
      <c r="N28" s="21"/>
      <c r="O28" s="36"/>
    </row>
    <row r="29" spans="1:15" s="27" customFormat="1" ht="26.25" thickBot="1">
      <c r="A29" s="77" t="s">
        <v>611</v>
      </c>
      <c r="B29" s="81" t="s">
        <v>112</v>
      </c>
      <c r="C29" s="70" t="s">
        <v>33</v>
      </c>
      <c r="D29" s="70">
        <v>10</v>
      </c>
      <c r="E29" s="185"/>
      <c r="F29" s="21"/>
      <c r="G29" s="21"/>
      <c r="H29" s="185"/>
      <c r="I29" s="21"/>
      <c r="J29" s="21"/>
      <c r="K29" s="21"/>
      <c r="L29" s="21"/>
      <c r="M29" s="21"/>
      <c r="N29" s="21"/>
      <c r="O29" s="36"/>
    </row>
    <row r="30" spans="1:15" ht="14.25" customHeight="1">
      <c r="A30" s="340" t="s">
        <v>103</v>
      </c>
      <c r="B30" s="341"/>
      <c r="C30" s="341"/>
      <c r="D30" s="342"/>
      <c r="E30" s="87"/>
      <c r="F30" s="70"/>
      <c r="G30" s="16"/>
      <c r="H30" s="16"/>
      <c r="I30" s="16"/>
      <c r="J30" s="21"/>
      <c r="K30" s="21"/>
      <c r="L30" s="21"/>
      <c r="M30" s="21"/>
      <c r="N30" s="21"/>
      <c r="O30" s="36"/>
    </row>
    <row r="31" spans="1:15" ht="12.75">
      <c r="A31" s="77" t="s">
        <v>612</v>
      </c>
      <c r="B31" s="81" t="s">
        <v>59</v>
      </c>
      <c r="C31" s="70" t="s">
        <v>33</v>
      </c>
      <c r="D31" s="70">
        <v>87</v>
      </c>
      <c r="E31" s="185"/>
      <c r="F31" s="21"/>
      <c r="G31" s="185"/>
      <c r="H31" s="185"/>
      <c r="I31" s="21"/>
      <c r="J31" s="21"/>
      <c r="K31" s="21"/>
      <c r="L31" s="21"/>
      <c r="M31" s="21"/>
      <c r="N31" s="21"/>
      <c r="O31" s="21"/>
    </row>
    <row r="32" spans="1:15" ht="12.75">
      <c r="A32" s="77" t="s">
        <v>613</v>
      </c>
      <c r="B32" s="81" t="s">
        <v>99</v>
      </c>
      <c r="C32" s="70" t="s">
        <v>100</v>
      </c>
      <c r="D32" s="70">
        <v>7</v>
      </c>
      <c r="E32" s="185"/>
      <c r="F32" s="21"/>
      <c r="G32" s="185"/>
      <c r="H32" s="185"/>
      <c r="I32" s="21"/>
      <c r="J32" s="21"/>
      <c r="K32" s="21"/>
      <c r="L32" s="21"/>
      <c r="M32" s="21"/>
      <c r="N32" s="21"/>
      <c r="O32" s="21"/>
    </row>
    <row r="33" spans="1:15" ht="14.25" customHeight="1" thickBot="1">
      <c r="A33" s="334" t="s">
        <v>102</v>
      </c>
      <c r="B33" s="335"/>
      <c r="C33" s="335"/>
      <c r="D33" s="336"/>
      <c r="E33" s="87"/>
      <c r="F33" s="70"/>
      <c r="G33" s="16"/>
      <c r="H33" s="16"/>
      <c r="I33" s="16"/>
      <c r="J33" s="21"/>
      <c r="K33" s="21"/>
      <c r="L33" s="21"/>
      <c r="M33" s="21"/>
      <c r="N33" s="21"/>
      <c r="O33" s="36"/>
    </row>
    <row r="34" spans="1:15" s="26" customFormat="1" ht="38.25">
      <c r="A34" s="77" t="s">
        <v>614</v>
      </c>
      <c r="B34" s="4" t="s">
        <v>187</v>
      </c>
      <c r="C34" s="79" t="s">
        <v>44</v>
      </c>
      <c r="D34" s="70">
        <f>D27*1.2*1.75+D28*1.2*2.25+D29*1.2*1.75-D42-D53-D69-D70-D72</f>
        <v>337.89999999999986</v>
      </c>
      <c r="E34" s="183"/>
      <c r="F34" s="21"/>
      <c r="G34" s="185"/>
      <c r="H34" s="183"/>
      <c r="I34" s="21"/>
      <c r="J34" s="21"/>
      <c r="K34" s="202"/>
      <c r="L34" s="21"/>
      <c r="M34" s="21"/>
      <c r="N34" s="21"/>
      <c r="O34" s="21"/>
    </row>
    <row r="35" spans="1:15" s="26" customFormat="1" ht="38.25">
      <c r="A35" s="77" t="s">
        <v>615</v>
      </c>
      <c r="B35" s="85" t="s">
        <v>109</v>
      </c>
      <c r="C35" s="88" t="s">
        <v>44</v>
      </c>
      <c r="D35" s="25">
        <f>ROUND(D34*0.1,1)</f>
        <v>33.8</v>
      </c>
      <c r="E35" s="185"/>
      <c r="F35" s="21"/>
      <c r="G35" s="185"/>
      <c r="H35" s="185"/>
      <c r="I35" s="185"/>
      <c r="J35" s="21"/>
      <c r="K35" s="202"/>
      <c r="L35" s="21"/>
      <c r="M35" s="21"/>
      <c r="N35" s="21"/>
      <c r="O35" s="21"/>
    </row>
    <row r="36" spans="1:15" s="26" customFormat="1" ht="12.75">
      <c r="A36" s="77"/>
      <c r="B36" s="7" t="s">
        <v>188</v>
      </c>
      <c r="C36" s="88" t="s">
        <v>44</v>
      </c>
      <c r="D36" s="25">
        <f>D35</f>
        <v>33.8</v>
      </c>
      <c r="E36" s="184"/>
      <c r="F36" s="20"/>
      <c r="G36" s="184"/>
      <c r="H36" s="184"/>
      <c r="I36" s="21"/>
      <c r="J36" s="20"/>
      <c r="K36" s="20"/>
      <c r="L36" s="20"/>
      <c r="M36" s="20"/>
      <c r="N36" s="20"/>
      <c r="O36" s="20"/>
    </row>
    <row r="37" spans="1:15" s="28" customFormat="1" ht="26.25" thickBot="1">
      <c r="A37" s="77" t="s">
        <v>616</v>
      </c>
      <c r="B37" s="81" t="s">
        <v>110</v>
      </c>
      <c r="C37" s="79" t="s">
        <v>44</v>
      </c>
      <c r="D37" s="70">
        <f>D35+D42+D53+D69+D70+D72</f>
        <v>291.1</v>
      </c>
      <c r="E37" s="185"/>
      <c r="F37" s="21"/>
      <c r="G37" s="185"/>
      <c r="H37" s="185"/>
      <c r="I37" s="185"/>
      <c r="J37" s="21"/>
      <c r="K37" s="202"/>
      <c r="L37" s="21"/>
      <c r="M37" s="21"/>
      <c r="N37" s="21"/>
      <c r="O37" s="21"/>
    </row>
    <row r="38" spans="1:15" s="28" customFormat="1" ht="16.5" thickBot="1">
      <c r="A38" s="314" t="s">
        <v>166</v>
      </c>
      <c r="B38" s="315"/>
      <c r="C38" s="315"/>
      <c r="D38" s="315"/>
      <c r="E38" s="86"/>
      <c r="F38" s="70"/>
      <c r="G38" s="16"/>
      <c r="H38" s="16"/>
      <c r="I38" s="70"/>
      <c r="J38" s="21"/>
      <c r="K38" s="21"/>
      <c r="L38" s="21"/>
      <c r="M38" s="21"/>
      <c r="N38" s="21"/>
      <c r="O38" s="36"/>
    </row>
    <row r="39" spans="1:15" s="28" customFormat="1" ht="14.25" customHeight="1" thickBot="1">
      <c r="A39" s="312" t="s">
        <v>174</v>
      </c>
      <c r="B39" s="313"/>
      <c r="C39" s="313"/>
      <c r="D39" s="313"/>
      <c r="E39" s="86"/>
      <c r="F39" s="70"/>
      <c r="G39" s="16"/>
      <c r="H39" s="16"/>
      <c r="I39" s="70"/>
      <c r="J39" s="21"/>
      <c r="K39" s="21"/>
      <c r="L39" s="21"/>
      <c r="M39" s="21"/>
      <c r="N39" s="21"/>
      <c r="O39" s="36"/>
    </row>
    <row r="40" spans="1:15" s="28" customFormat="1" ht="12.75">
      <c r="A40" s="75" t="s">
        <v>617</v>
      </c>
      <c r="B40" s="78" t="s">
        <v>210</v>
      </c>
      <c r="C40" s="70" t="s">
        <v>33</v>
      </c>
      <c r="D40" s="70">
        <f>D46</f>
        <v>262</v>
      </c>
      <c r="E40" s="183"/>
      <c r="F40" s="21"/>
      <c r="G40" s="185"/>
      <c r="H40" s="195"/>
      <c r="I40" s="21"/>
      <c r="J40" s="21"/>
      <c r="K40" s="202"/>
      <c r="L40" s="21"/>
      <c r="M40" s="21"/>
      <c r="N40" s="21"/>
      <c r="O40" s="21"/>
    </row>
    <row r="41" spans="1:15" s="28" customFormat="1" ht="25.5">
      <c r="A41" s="75" t="s">
        <v>618</v>
      </c>
      <c r="B41" s="81" t="s">
        <v>687</v>
      </c>
      <c r="C41" s="70" t="s">
        <v>42</v>
      </c>
      <c r="D41" s="70">
        <f>ROUND((D44*0.41+D45*0.5+D46*0.65),1)</f>
        <v>174.7</v>
      </c>
      <c r="E41" s="185"/>
      <c r="F41" s="21"/>
      <c r="G41" s="185"/>
      <c r="H41" s="185"/>
      <c r="I41" s="185"/>
      <c r="J41" s="21"/>
      <c r="K41" s="202"/>
      <c r="L41" s="21"/>
      <c r="M41" s="21"/>
      <c r="N41" s="21"/>
      <c r="O41" s="21"/>
    </row>
    <row r="42" spans="1:15" s="28" customFormat="1" ht="25.5">
      <c r="A42" s="75" t="s">
        <v>619</v>
      </c>
      <c r="B42" s="85" t="s">
        <v>688</v>
      </c>
      <c r="C42" s="25" t="s">
        <v>43</v>
      </c>
      <c r="D42" s="25">
        <f>ROUND((D44*0.0615+D45*0.075+D46*0.065),1)</f>
        <v>17.7</v>
      </c>
      <c r="E42" s="184"/>
      <c r="F42" s="20"/>
      <c r="G42" s="184"/>
      <c r="H42" s="184"/>
      <c r="I42" s="21"/>
      <c r="J42" s="20"/>
      <c r="K42" s="20"/>
      <c r="L42" s="20"/>
      <c r="M42" s="20"/>
      <c r="N42" s="20"/>
      <c r="O42" s="20"/>
    </row>
    <row r="43" spans="1:15" s="28" customFormat="1" ht="12.75">
      <c r="A43" s="75" t="s">
        <v>620</v>
      </c>
      <c r="B43" s="89" t="s">
        <v>15</v>
      </c>
      <c r="C43" s="70" t="s">
        <v>33</v>
      </c>
      <c r="D43" s="70">
        <f>SUM(D44:D46)</f>
        <v>272.2</v>
      </c>
      <c r="E43" s="185"/>
      <c r="F43" s="21"/>
      <c r="G43" s="185"/>
      <c r="H43" s="185"/>
      <c r="I43" s="185"/>
      <c r="J43" s="21"/>
      <c r="K43" s="202"/>
      <c r="L43" s="21"/>
      <c r="M43" s="21"/>
      <c r="N43" s="21"/>
      <c r="O43" s="21"/>
    </row>
    <row r="44" spans="1:15" s="28" customFormat="1" ht="12.75">
      <c r="A44" s="75" t="s">
        <v>621</v>
      </c>
      <c r="B44" s="90" t="s">
        <v>170</v>
      </c>
      <c r="C44" s="25" t="s">
        <v>33</v>
      </c>
      <c r="D44" s="70">
        <v>7.7</v>
      </c>
      <c r="E44" s="184"/>
      <c r="F44" s="20"/>
      <c r="G44" s="184"/>
      <c r="H44" s="184"/>
      <c r="I44" s="21"/>
      <c r="J44" s="20"/>
      <c r="K44" s="20"/>
      <c r="L44" s="20"/>
      <c r="M44" s="20"/>
      <c r="N44" s="20"/>
      <c r="O44" s="20"/>
    </row>
    <row r="45" spans="1:15" s="28" customFormat="1" ht="12.75">
      <c r="A45" s="75" t="s">
        <v>622</v>
      </c>
      <c r="B45" s="90" t="s">
        <v>192</v>
      </c>
      <c r="C45" s="25" t="s">
        <v>33</v>
      </c>
      <c r="D45" s="70">
        <v>2.5</v>
      </c>
      <c r="E45" s="196"/>
      <c r="F45" s="20"/>
      <c r="G45" s="196"/>
      <c r="H45" s="184"/>
      <c r="I45" s="21"/>
      <c r="J45" s="20"/>
      <c r="K45" s="20"/>
      <c r="L45" s="20"/>
      <c r="M45" s="20"/>
      <c r="N45" s="20"/>
      <c r="O45" s="38"/>
    </row>
    <row r="46" spans="1:15" s="28" customFormat="1" ht="12.75">
      <c r="A46" s="75" t="s">
        <v>623</v>
      </c>
      <c r="B46" s="90" t="s">
        <v>169</v>
      </c>
      <c r="C46" s="25" t="s">
        <v>33</v>
      </c>
      <c r="D46" s="70">
        <v>262</v>
      </c>
      <c r="E46" s="184"/>
      <c r="F46" s="20"/>
      <c r="G46" s="184"/>
      <c r="H46" s="184"/>
      <c r="I46" s="21"/>
      <c r="J46" s="20"/>
      <c r="K46" s="20"/>
      <c r="L46" s="20"/>
      <c r="M46" s="20"/>
      <c r="N46" s="20"/>
      <c r="O46" s="20"/>
    </row>
    <row r="47" spans="1:15" s="28" customFormat="1" ht="38.25">
      <c r="A47" s="75" t="s">
        <v>624</v>
      </c>
      <c r="B47" s="85" t="s">
        <v>691</v>
      </c>
      <c r="C47" s="88" t="s">
        <v>42</v>
      </c>
      <c r="D47" s="105">
        <f>D46</f>
        <v>262</v>
      </c>
      <c r="E47" s="184"/>
      <c r="F47" s="20"/>
      <c r="G47" s="184"/>
      <c r="H47" s="184"/>
      <c r="I47" s="21"/>
      <c r="J47" s="20"/>
      <c r="K47" s="20"/>
      <c r="L47" s="20"/>
      <c r="M47" s="20"/>
      <c r="N47" s="20"/>
      <c r="O47" s="20"/>
    </row>
    <row r="48" spans="1:15" s="28" customFormat="1" ht="45.75" customHeight="1">
      <c r="A48" s="75" t="s">
        <v>625</v>
      </c>
      <c r="B48" s="4" t="s">
        <v>193</v>
      </c>
      <c r="C48" s="70" t="s">
        <v>16</v>
      </c>
      <c r="D48" s="70">
        <v>3</v>
      </c>
      <c r="E48" s="185"/>
      <c r="F48" s="21"/>
      <c r="G48" s="185"/>
      <c r="H48" s="183"/>
      <c r="I48" s="21"/>
      <c r="J48" s="21"/>
      <c r="K48" s="202"/>
      <c r="L48" s="21"/>
      <c r="M48" s="21"/>
      <c r="N48" s="21"/>
      <c r="O48" s="21"/>
    </row>
    <row r="49" spans="1:15" s="28" customFormat="1" ht="51">
      <c r="A49" s="75" t="s">
        <v>626</v>
      </c>
      <c r="B49" s="7" t="s">
        <v>213</v>
      </c>
      <c r="C49" s="9" t="s">
        <v>32</v>
      </c>
      <c r="D49" s="70">
        <f>D48</f>
        <v>3</v>
      </c>
      <c r="E49" s="184"/>
      <c r="F49" s="20"/>
      <c r="G49" s="184"/>
      <c r="H49" s="184"/>
      <c r="I49" s="21"/>
      <c r="J49" s="20"/>
      <c r="K49" s="20"/>
      <c r="L49" s="20"/>
      <c r="M49" s="20"/>
      <c r="N49" s="20"/>
      <c r="O49" s="20"/>
    </row>
    <row r="50" spans="1:15" s="28" customFormat="1" ht="25.5">
      <c r="A50" s="75" t="s">
        <v>627</v>
      </c>
      <c r="B50" s="91" t="s">
        <v>673</v>
      </c>
      <c r="C50" s="92" t="s">
        <v>33</v>
      </c>
      <c r="D50" s="70">
        <v>2.6</v>
      </c>
      <c r="E50" s="185"/>
      <c r="F50" s="21"/>
      <c r="G50" s="185"/>
      <c r="H50" s="185"/>
      <c r="I50" s="21"/>
      <c r="J50" s="21"/>
      <c r="K50" s="21"/>
      <c r="L50" s="21"/>
      <c r="M50" s="21"/>
      <c r="N50" s="21"/>
      <c r="O50" s="21"/>
    </row>
    <row r="51" spans="1:15" s="28" customFormat="1" ht="25.5">
      <c r="A51" s="75" t="s">
        <v>628</v>
      </c>
      <c r="B51" s="85" t="s">
        <v>3</v>
      </c>
      <c r="C51" s="25" t="s">
        <v>157</v>
      </c>
      <c r="D51" s="70">
        <f>D50</f>
        <v>2.6</v>
      </c>
      <c r="E51" s="184"/>
      <c r="F51" s="20"/>
      <c r="G51" s="184"/>
      <c r="H51" s="184"/>
      <c r="I51" s="21"/>
      <c r="J51" s="20"/>
      <c r="K51" s="20"/>
      <c r="L51" s="20"/>
      <c r="M51" s="20"/>
      <c r="N51" s="20"/>
      <c r="O51" s="20"/>
    </row>
    <row r="52" spans="1:15" s="28" customFormat="1" ht="25.5">
      <c r="A52" s="75" t="s">
        <v>629</v>
      </c>
      <c r="B52" s="81" t="s">
        <v>690</v>
      </c>
      <c r="C52" s="70" t="s">
        <v>42</v>
      </c>
      <c r="D52" s="70">
        <f>D41</f>
        <v>174.7</v>
      </c>
      <c r="E52" s="185"/>
      <c r="F52" s="21"/>
      <c r="G52" s="185"/>
      <c r="H52" s="185"/>
      <c r="I52" s="185"/>
      <c r="J52" s="21"/>
      <c r="K52" s="202"/>
      <c r="L52" s="21"/>
      <c r="M52" s="21"/>
      <c r="N52" s="21"/>
      <c r="O52" s="21"/>
    </row>
    <row r="53" spans="1:15" s="28" customFormat="1" ht="25.5">
      <c r="A53" s="75" t="s">
        <v>630</v>
      </c>
      <c r="B53" s="85" t="s">
        <v>689</v>
      </c>
      <c r="C53" s="88" t="s">
        <v>12</v>
      </c>
      <c r="D53" s="105">
        <f>ROUND((D44*0.12+D45*0.18+D46*0.2434),1)</f>
        <v>65.1</v>
      </c>
      <c r="E53" s="196"/>
      <c r="F53" s="20"/>
      <c r="G53" s="196"/>
      <c r="H53" s="196"/>
      <c r="I53" s="196"/>
      <c r="J53" s="20"/>
      <c r="K53" s="20"/>
      <c r="L53" s="20"/>
      <c r="M53" s="20"/>
      <c r="N53" s="20"/>
      <c r="O53" s="38"/>
    </row>
    <row r="54" spans="1:15" s="28" customFormat="1" ht="12.75">
      <c r="A54" s="75" t="s">
        <v>631</v>
      </c>
      <c r="B54" s="89" t="s">
        <v>86</v>
      </c>
      <c r="C54" s="70" t="s">
        <v>33</v>
      </c>
      <c r="D54" s="70">
        <f>D40</f>
        <v>262</v>
      </c>
      <c r="E54" s="183"/>
      <c r="F54" s="21"/>
      <c r="G54" s="185"/>
      <c r="H54" s="183"/>
      <c r="I54" s="21"/>
      <c r="J54" s="21"/>
      <c r="K54" s="202"/>
      <c r="L54" s="21"/>
      <c r="M54" s="21"/>
      <c r="N54" s="21"/>
      <c r="O54" s="36"/>
    </row>
    <row r="55" spans="1:15" s="28" customFormat="1" ht="13.5" thickBot="1">
      <c r="A55" s="75" t="s">
        <v>632</v>
      </c>
      <c r="B55" s="90" t="s">
        <v>17</v>
      </c>
      <c r="C55" s="25" t="s">
        <v>33</v>
      </c>
      <c r="D55" s="70">
        <f>D54</f>
        <v>262</v>
      </c>
      <c r="E55" s="196"/>
      <c r="F55" s="20"/>
      <c r="G55" s="196"/>
      <c r="H55" s="196"/>
      <c r="I55" s="21"/>
      <c r="J55" s="20"/>
      <c r="K55" s="20"/>
      <c r="L55" s="20"/>
      <c r="M55" s="20"/>
      <c r="N55" s="20"/>
      <c r="O55" s="38"/>
    </row>
    <row r="56" spans="1:15" s="28" customFormat="1" ht="14.25" customHeight="1" thickBot="1">
      <c r="A56" s="312" t="s">
        <v>202</v>
      </c>
      <c r="B56" s="313"/>
      <c r="C56" s="313"/>
      <c r="D56" s="313"/>
      <c r="E56" s="86"/>
      <c r="F56" s="70"/>
      <c r="G56" s="16"/>
      <c r="H56" s="16"/>
      <c r="I56" s="70"/>
      <c r="J56" s="21"/>
      <c r="K56" s="21"/>
      <c r="L56" s="21"/>
      <c r="M56" s="21"/>
      <c r="N56" s="21"/>
      <c r="O56" s="36"/>
    </row>
    <row r="57" spans="1:15" s="28" customFormat="1" ht="38.25">
      <c r="A57" s="75" t="s">
        <v>633</v>
      </c>
      <c r="B57" s="81" t="s">
        <v>194</v>
      </c>
      <c r="C57" s="70" t="s">
        <v>16</v>
      </c>
      <c r="D57" s="70">
        <f>SUM(D58:D58)</f>
        <v>6</v>
      </c>
      <c r="E57" s="185"/>
      <c r="F57" s="21"/>
      <c r="G57" s="185"/>
      <c r="H57" s="185"/>
      <c r="I57" s="21"/>
      <c r="J57" s="21"/>
      <c r="K57" s="202"/>
      <c r="L57" s="21"/>
      <c r="M57" s="21"/>
      <c r="N57" s="21"/>
      <c r="O57" s="36"/>
    </row>
    <row r="58" spans="1:15" s="28" customFormat="1" ht="25.5">
      <c r="A58" s="75" t="s">
        <v>634</v>
      </c>
      <c r="B58" s="93" t="s">
        <v>177</v>
      </c>
      <c r="C58" s="25" t="s">
        <v>32</v>
      </c>
      <c r="D58" s="70">
        <v>6</v>
      </c>
      <c r="E58" s="184"/>
      <c r="F58" s="20"/>
      <c r="G58" s="184"/>
      <c r="H58" s="97"/>
      <c r="I58" s="21"/>
      <c r="J58" s="20"/>
      <c r="K58" s="20"/>
      <c r="L58" s="20"/>
      <c r="M58" s="20"/>
      <c r="N58" s="20"/>
      <c r="O58" s="20"/>
    </row>
    <row r="59" spans="1:15" s="28" customFormat="1" ht="38.25">
      <c r="A59" s="75" t="s">
        <v>635</v>
      </c>
      <c r="B59" s="81" t="s">
        <v>670</v>
      </c>
      <c r="C59" s="70" t="s">
        <v>16</v>
      </c>
      <c r="D59" s="70">
        <v>1</v>
      </c>
      <c r="E59" s="185"/>
      <c r="F59" s="21"/>
      <c r="G59" s="185"/>
      <c r="H59" s="185"/>
      <c r="I59" s="21"/>
      <c r="J59" s="21"/>
      <c r="K59" s="202"/>
      <c r="L59" s="21"/>
      <c r="M59" s="21"/>
      <c r="N59" s="21"/>
      <c r="O59" s="36"/>
    </row>
    <row r="60" spans="1:15" s="28" customFormat="1" ht="38.25">
      <c r="A60" s="75" t="s">
        <v>636</v>
      </c>
      <c r="B60" s="93" t="s">
        <v>671</v>
      </c>
      <c r="C60" s="25" t="s">
        <v>672</v>
      </c>
      <c r="D60" s="70">
        <v>1</v>
      </c>
      <c r="E60" s="184"/>
      <c r="F60" s="20"/>
      <c r="G60" s="184"/>
      <c r="H60" s="97"/>
      <c r="I60" s="21"/>
      <c r="J60" s="20"/>
      <c r="K60" s="20"/>
      <c r="L60" s="20"/>
      <c r="M60" s="20"/>
      <c r="N60" s="20"/>
      <c r="O60" s="20"/>
    </row>
    <row r="61" spans="1:15" s="28" customFormat="1" ht="12.75">
      <c r="A61" s="75" t="s">
        <v>637</v>
      </c>
      <c r="B61" s="93" t="s">
        <v>185</v>
      </c>
      <c r="C61" s="25" t="s">
        <v>16</v>
      </c>
      <c r="D61" s="25">
        <f>D59</f>
        <v>1</v>
      </c>
      <c r="E61" s="184"/>
      <c r="F61" s="20"/>
      <c r="G61" s="184"/>
      <c r="H61" s="97"/>
      <c r="I61" s="21"/>
      <c r="J61" s="20"/>
      <c r="K61" s="20"/>
      <c r="L61" s="20"/>
      <c r="M61" s="20"/>
      <c r="N61" s="20"/>
      <c r="O61" s="20"/>
    </row>
    <row r="62" spans="1:15" s="28" customFormat="1" ht="14.25">
      <c r="A62" s="75" t="s">
        <v>638</v>
      </c>
      <c r="B62" s="7" t="s">
        <v>1</v>
      </c>
      <c r="C62" s="25" t="s">
        <v>12</v>
      </c>
      <c r="D62" s="25">
        <f>ROUND(D59*0.13,1)</f>
        <v>0.1</v>
      </c>
      <c r="E62" s="196"/>
      <c r="F62" s="20"/>
      <c r="G62" s="196"/>
      <c r="H62" s="196"/>
      <c r="I62" s="21"/>
      <c r="J62" s="20"/>
      <c r="K62" s="20"/>
      <c r="L62" s="20"/>
      <c r="M62" s="20"/>
      <c r="N62" s="20"/>
      <c r="O62" s="38"/>
    </row>
    <row r="63" spans="1:15" s="28" customFormat="1" ht="14.25">
      <c r="A63" s="75" t="s">
        <v>639</v>
      </c>
      <c r="B63" s="7" t="s">
        <v>2</v>
      </c>
      <c r="C63" s="25" t="s">
        <v>12</v>
      </c>
      <c r="D63" s="25">
        <f>ROUND(D59*0.14,1)</f>
        <v>0.1</v>
      </c>
      <c r="E63" s="196"/>
      <c r="F63" s="20"/>
      <c r="G63" s="196"/>
      <c r="H63" s="196"/>
      <c r="I63" s="21"/>
      <c r="J63" s="20"/>
      <c r="K63" s="20"/>
      <c r="L63" s="20"/>
      <c r="M63" s="20"/>
      <c r="N63" s="20"/>
      <c r="O63" s="38"/>
    </row>
    <row r="64" spans="1:15" s="28" customFormat="1" ht="15.75" thickBot="1">
      <c r="A64" s="334" t="s">
        <v>149</v>
      </c>
      <c r="B64" s="335"/>
      <c r="C64" s="335"/>
      <c r="D64" s="335"/>
      <c r="E64" s="86"/>
      <c r="F64" s="70"/>
      <c r="G64" s="16"/>
      <c r="H64" s="16"/>
      <c r="I64" s="70"/>
      <c r="J64" s="21"/>
      <c r="K64" s="21"/>
      <c r="L64" s="21"/>
      <c r="M64" s="21"/>
      <c r="N64" s="21"/>
      <c r="O64" s="36"/>
    </row>
    <row r="65" spans="1:15" s="28" customFormat="1" ht="12.75">
      <c r="A65" s="77" t="s">
        <v>640</v>
      </c>
      <c r="B65" s="81" t="s">
        <v>203</v>
      </c>
      <c r="C65" s="70" t="s">
        <v>33</v>
      </c>
      <c r="D65" s="124">
        <f>D40</f>
        <v>262</v>
      </c>
      <c r="E65" s="185"/>
      <c r="F65" s="21"/>
      <c r="G65" s="185"/>
      <c r="H65" s="185"/>
      <c r="I65" s="21"/>
      <c r="J65" s="21"/>
      <c r="K65" s="202"/>
      <c r="L65" s="21"/>
      <c r="M65" s="21"/>
      <c r="N65" s="21"/>
      <c r="O65" s="36"/>
    </row>
    <row r="66" spans="1:15" s="28" customFormat="1" ht="25.5">
      <c r="A66" s="77" t="s">
        <v>641</v>
      </c>
      <c r="B66" s="81" t="s">
        <v>4</v>
      </c>
      <c r="C66" s="70" t="s">
        <v>16</v>
      </c>
      <c r="D66" s="124">
        <v>1</v>
      </c>
      <c r="E66" s="87"/>
      <c r="F66" s="70"/>
      <c r="G66" s="16"/>
      <c r="H66" s="16"/>
      <c r="I66" s="21"/>
      <c r="J66" s="21"/>
      <c r="K66" s="202"/>
      <c r="L66" s="21"/>
      <c r="M66" s="21"/>
      <c r="N66" s="21"/>
      <c r="O66" s="36"/>
    </row>
    <row r="67" spans="1:15" s="28" customFormat="1" ht="15.75" thickBot="1">
      <c r="A67" s="334" t="s">
        <v>101</v>
      </c>
      <c r="B67" s="335"/>
      <c r="C67" s="335"/>
      <c r="D67" s="335"/>
      <c r="E67" s="86"/>
      <c r="F67" s="70"/>
      <c r="G67" s="16"/>
      <c r="H67" s="16"/>
      <c r="I67" s="70"/>
      <c r="J67" s="21"/>
      <c r="K67" s="21"/>
      <c r="L67" s="21"/>
      <c r="M67" s="21"/>
      <c r="N67" s="21"/>
      <c r="O67" s="36"/>
    </row>
    <row r="68" spans="1:15" s="6" customFormat="1" ht="18" customHeight="1">
      <c r="A68" s="77" t="s">
        <v>642</v>
      </c>
      <c r="B68" s="96" t="s">
        <v>81</v>
      </c>
      <c r="C68" s="75" t="s">
        <v>661</v>
      </c>
      <c r="D68" s="123">
        <f>ROUND(268*1.2/100,0)</f>
        <v>3</v>
      </c>
      <c r="E68" s="185"/>
      <c r="F68" s="21"/>
      <c r="G68" s="185"/>
      <c r="H68" s="185"/>
      <c r="I68" s="21"/>
      <c r="J68" s="21"/>
      <c r="K68" s="202"/>
      <c r="L68" s="21"/>
      <c r="M68" s="21"/>
      <c r="N68" s="21"/>
      <c r="O68" s="21"/>
    </row>
    <row r="69" spans="1:15" s="6" customFormat="1" ht="14.25">
      <c r="A69" s="77" t="s">
        <v>643</v>
      </c>
      <c r="B69" s="85" t="s">
        <v>88</v>
      </c>
      <c r="C69" s="25" t="s">
        <v>12</v>
      </c>
      <c r="D69" s="70">
        <f>ROUND((100*D68*0.28),1)</f>
        <v>84</v>
      </c>
      <c r="E69" s="21"/>
      <c r="F69" s="21"/>
      <c r="G69" s="21"/>
      <c r="H69" s="184"/>
      <c r="I69" s="21"/>
      <c r="J69" s="20"/>
      <c r="K69" s="20"/>
      <c r="L69" s="20"/>
      <c r="M69" s="20"/>
      <c r="N69" s="20"/>
      <c r="O69" s="20"/>
    </row>
    <row r="70" spans="1:15" s="6" customFormat="1" ht="25.5">
      <c r="A70" s="77" t="s">
        <v>644</v>
      </c>
      <c r="B70" s="85" t="s">
        <v>89</v>
      </c>
      <c r="C70" s="25" t="s">
        <v>12</v>
      </c>
      <c r="D70" s="25">
        <f>ROUND((100*D68*0.3),1)</f>
        <v>90</v>
      </c>
      <c r="E70" s="21"/>
      <c r="F70" s="21"/>
      <c r="G70" s="21"/>
      <c r="H70" s="184"/>
      <c r="I70" s="21"/>
      <c r="J70" s="20"/>
      <c r="K70" s="20"/>
      <c r="L70" s="20"/>
      <c r="M70" s="20"/>
      <c r="N70" s="20"/>
      <c r="O70" s="20"/>
    </row>
    <row r="71" spans="1:15" s="6" customFormat="1" ht="14.25">
      <c r="A71" s="77" t="s">
        <v>645</v>
      </c>
      <c r="B71" s="81" t="s">
        <v>82</v>
      </c>
      <c r="C71" s="75" t="s">
        <v>79</v>
      </c>
      <c r="D71" s="25">
        <f>D19</f>
        <v>3.5999999999999996</v>
      </c>
      <c r="E71" s="185"/>
      <c r="F71" s="21"/>
      <c r="G71" s="185"/>
      <c r="H71" s="185"/>
      <c r="I71" s="185"/>
      <c r="J71" s="21"/>
      <c r="K71" s="202"/>
      <c r="L71" s="21"/>
      <c r="M71" s="21"/>
      <c r="N71" s="21"/>
      <c r="O71" s="21"/>
    </row>
    <row r="72" spans="1:15" s="6" customFormat="1" ht="14.25">
      <c r="A72" s="77" t="s">
        <v>737</v>
      </c>
      <c r="B72" s="85" t="s">
        <v>90</v>
      </c>
      <c r="C72" s="25" t="s">
        <v>12</v>
      </c>
      <c r="D72" s="98">
        <f>ROUND(D71*0.15,1)</f>
        <v>0.5</v>
      </c>
      <c r="E72" s="201"/>
      <c r="F72" s="186"/>
      <c r="G72" s="186"/>
      <c r="H72" s="187"/>
      <c r="I72" s="21"/>
      <c r="J72" s="20"/>
      <c r="K72" s="20"/>
      <c r="L72" s="20"/>
      <c r="M72" s="20"/>
      <c r="N72" s="20"/>
      <c r="O72" s="20"/>
    </row>
    <row r="73" spans="1:15" s="6" customFormat="1" ht="18.75">
      <c r="A73" s="77" t="s">
        <v>738</v>
      </c>
      <c r="B73" s="85" t="s">
        <v>13</v>
      </c>
      <c r="C73" s="25" t="s">
        <v>40</v>
      </c>
      <c r="D73" s="25">
        <f>ROUND((D71*0.03),1)</f>
        <v>0.1</v>
      </c>
      <c r="E73" s="201"/>
      <c r="F73" s="186"/>
      <c r="G73" s="186"/>
      <c r="H73" s="187"/>
      <c r="I73" s="21"/>
      <c r="J73" s="20"/>
      <c r="K73" s="20"/>
      <c r="L73" s="20"/>
      <c r="M73" s="20"/>
      <c r="N73" s="20"/>
      <c r="O73" s="20"/>
    </row>
    <row r="74" spans="1:15" s="64" customFormat="1" ht="15.75" thickBot="1">
      <c r="A74" s="181"/>
      <c r="B74" s="169"/>
      <c r="C74" s="189"/>
      <c r="D74" s="189"/>
      <c r="E74" s="170"/>
      <c r="F74" s="190"/>
      <c r="G74" s="190"/>
      <c r="H74" s="170"/>
      <c r="I74" s="190"/>
      <c r="J74" s="190"/>
      <c r="K74" s="190"/>
      <c r="L74" s="190"/>
      <c r="M74" s="190"/>
      <c r="N74" s="190"/>
      <c r="O74" s="190"/>
    </row>
    <row r="75" spans="1:15" s="64" customFormat="1" ht="13.5" thickTop="1">
      <c r="A75" s="173"/>
      <c r="B75" s="96" t="s">
        <v>654</v>
      </c>
      <c r="C75" s="174"/>
      <c r="D75" s="175"/>
      <c r="E75" s="176"/>
      <c r="F75" s="176"/>
      <c r="G75" s="176"/>
      <c r="H75" s="176"/>
      <c r="I75" s="176"/>
      <c r="J75" s="177"/>
      <c r="K75" s="178"/>
      <c r="L75" s="178"/>
      <c r="M75" s="178"/>
      <c r="N75" s="178"/>
      <c r="O75" s="178"/>
    </row>
    <row r="76" spans="1:15" s="64" customFormat="1" ht="25.5">
      <c r="A76" s="47"/>
      <c r="B76" s="171" t="s">
        <v>662</v>
      </c>
      <c r="C76" s="191"/>
      <c r="D76" s="17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</row>
    <row r="77" spans="1:15" s="64" customFormat="1" ht="12.75">
      <c r="A77" s="46" t="s">
        <v>34</v>
      </c>
      <c r="B77" s="188" t="s">
        <v>654</v>
      </c>
      <c r="C77" s="191"/>
      <c r="D77" s="172"/>
      <c r="E77" s="182"/>
      <c r="F77" s="182"/>
      <c r="G77" s="182"/>
      <c r="H77" s="182"/>
      <c r="I77" s="182"/>
      <c r="J77" s="182"/>
      <c r="K77" s="195"/>
      <c r="L77" s="195"/>
      <c r="M77" s="195"/>
      <c r="N77" s="195"/>
      <c r="O77" s="195"/>
    </row>
    <row r="78" spans="1:4" s="64" customFormat="1" ht="12.75">
      <c r="A78" s="48" t="s">
        <v>35</v>
      </c>
      <c r="B78" s="12"/>
      <c r="C78" s="63"/>
      <c r="D78" s="65"/>
    </row>
    <row r="79" spans="1:4" s="64" customFormat="1" ht="12.75">
      <c r="A79" s="48" t="s">
        <v>18</v>
      </c>
      <c r="B79" s="66"/>
      <c r="C79" s="66"/>
      <c r="D79" s="65"/>
    </row>
    <row r="80" spans="1:4" s="64" customFormat="1" ht="12.75">
      <c r="A80" s="48" t="s">
        <v>19</v>
      </c>
      <c r="B80" s="66"/>
      <c r="C80" s="66"/>
      <c r="D80" s="65"/>
    </row>
    <row r="81" spans="1:4" s="64" customFormat="1" ht="12.75">
      <c r="A81" s="48" t="s">
        <v>36</v>
      </c>
      <c r="B81" s="66"/>
      <c r="C81" s="66"/>
      <c r="D81" s="65"/>
    </row>
    <row r="82" spans="1:4" s="64" customFormat="1" ht="12.75">
      <c r="A82" s="48" t="s">
        <v>37</v>
      </c>
      <c r="B82" s="66"/>
      <c r="C82" s="66"/>
      <c r="D82" s="65"/>
    </row>
    <row r="83" spans="1:4" s="64" customFormat="1" ht="12.75">
      <c r="A83" s="48" t="s">
        <v>38</v>
      </c>
      <c r="B83" s="66"/>
      <c r="C83" s="66"/>
      <c r="D83" s="65"/>
    </row>
    <row r="84" spans="1:4" s="64" customFormat="1" ht="12.75">
      <c r="A84" s="48" t="s">
        <v>39</v>
      </c>
      <c r="B84" s="66"/>
      <c r="C84" s="66"/>
      <c r="D84" s="65"/>
    </row>
    <row r="85" spans="1:4" ht="12.75">
      <c r="A85" s="11" t="s">
        <v>20</v>
      </c>
      <c r="B85" s="67"/>
      <c r="C85" s="67"/>
      <c r="D85" s="68"/>
    </row>
    <row r="86" spans="2:3" ht="12.75">
      <c r="B86" s="67"/>
      <c r="C86" s="67"/>
    </row>
    <row r="87" spans="1:3" ht="12.75">
      <c r="A87" s="31" t="s">
        <v>7</v>
      </c>
      <c r="B87" s="180"/>
      <c r="C87" s="67"/>
    </row>
    <row r="88" ht="12.75">
      <c r="A88" s="31"/>
    </row>
    <row r="89" spans="1:2" ht="12.75">
      <c r="A89" s="31" t="s">
        <v>6</v>
      </c>
      <c r="B89" s="69"/>
    </row>
    <row r="90" spans="1:2" ht="12.75">
      <c r="A90" s="31"/>
      <c r="B90" s="31"/>
    </row>
    <row r="91" ht="12.75">
      <c r="B91" s="30"/>
    </row>
    <row r="92" ht="12.75">
      <c r="B92" s="30"/>
    </row>
  </sheetData>
  <sheetProtection/>
  <mergeCells count="26">
    <mergeCell ref="A2:B2"/>
    <mergeCell ref="B5:D5"/>
    <mergeCell ref="B6:D6"/>
    <mergeCell ref="A26:D26"/>
    <mergeCell ref="A14:D14"/>
    <mergeCell ref="A18:D18"/>
    <mergeCell ref="A9:A10"/>
    <mergeCell ref="B9:B10"/>
    <mergeCell ref="C9:C10"/>
    <mergeCell ref="D9:D10"/>
    <mergeCell ref="A13:D13"/>
    <mergeCell ref="A21:D21"/>
    <mergeCell ref="A3:D3"/>
    <mergeCell ref="A67:D67"/>
    <mergeCell ref="A33:D33"/>
    <mergeCell ref="A64:D64"/>
    <mergeCell ref="A39:D39"/>
    <mergeCell ref="A38:D38"/>
    <mergeCell ref="A30:D30"/>
    <mergeCell ref="A56:D56"/>
    <mergeCell ref="E9:J9"/>
    <mergeCell ref="K9:O9"/>
    <mergeCell ref="B7:D7"/>
    <mergeCell ref="B8:D8"/>
    <mergeCell ref="G8:I8"/>
    <mergeCell ref="J8:L8"/>
  </mergeCells>
  <printOptions horizontalCentered="1"/>
  <pageMargins left="0.3937007874015748" right="0.3937007874015748" top="0.7874015748031497" bottom="0.5905511811023623" header="0.31496062992125984" footer="0.3937007874015748"/>
  <pageSetup fitToHeight="0" fitToWidth="1" horizontalDpi="600" verticalDpi="600" orientation="landscape" paperSize="9" scale="81" r:id="rId1"/>
  <headerFooter alignWithMargins="0">
    <oddFooter>&amp;CLapaspuse &amp;P no &amp;N&amp;R&amp;A</oddFooter>
  </headerFooter>
  <rowBreaks count="3" manualBreakCount="3">
    <brk id="29" max="14" man="1"/>
    <brk id="66" max="14" man="1"/>
    <brk id="89" max="14" man="1"/>
  </rowBreaks>
  <ignoredErrors>
    <ignoredError sqref="D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zoomScalePageLayoutView="0" workbookViewId="0" topLeftCell="A10">
      <selection activeCell="C12" sqref="C12"/>
    </sheetView>
  </sheetViews>
  <sheetFormatPr defaultColWidth="9.140625" defaultRowHeight="12.75"/>
  <cols>
    <col min="1" max="1" width="5.57421875" style="0" customWidth="1"/>
    <col min="2" max="2" width="12.00390625" style="0" customWidth="1"/>
    <col min="3" max="3" width="5.28125" style="0" customWidth="1"/>
    <col min="5" max="5" width="6.00390625" style="0" customWidth="1"/>
    <col min="6" max="6" width="5.57421875" style="0" customWidth="1"/>
    <col min="7" max="7" width="6.421875" style="0" customWidth="1"/>
    <col min="8" max="8" width="5.7109375" style="0" customWidth="1"/>
    <col min="9" max="9" width="2.28125" style="0" customWidth="1"/>
    <col min="10" max="10" width="5.28125" style="0" customWidth="1"/>
    <col min="12" max="12" width="6.28125" style="0" customWidth="1"/>
    <col min="13" max="13" width="3.140625" style="0" customWidth="1"/>
  </cols>
  <sheetData>
    <row r="1" spans="1:13" ht="12.75">
      <c r="A1" s="135"/>
      <c r="B1" s="135"/>
      <c r="C1" s="135"/>
      <c r="D1" s="135"/>
      <c r="E1" s="135"/>
      <c r="F1" s="135"/>
      <c r="G1" s="135"/>
      <c r="H1" s="135"/>
      <c r="I1" s="301" t="s">
        <v>709</v>
      </c>
      <c r="J1" s="301"/>
      <c r="K1" s="301"/>
      <c r="L1" s="301"/>
      <c r="M1" s="135"/>
    </row>
    <row r="2" spans="1:13" ht="12.75">
      <c r="A2" s="135"/>
      <c r="B2" s="135"/>
      <c r="C2" s="135"/>
      <c r="D2" s="135"/>
      <c r="E2" s="135"/>
      <c r="F2" s="135"/>
      <c r="G2" s="286"/>
      <c r="H2" s="286"/>
      <c r="I2" s="286"/>
      <c r="J2" s="286"/>
      <c r="K2" s="286"/>
      <c r="L2" s="286"/>
      <c r="M2" s="135"/>
    </row>
    <row r="3" spans="1:13" ht="12.75">
      <c r="A3" s="135"/>
      <c r="B3" s="135"/>
      <c r="C3" s="135"/>
      <c r="D3" s="135"/>
      <c r="E3" s="135"/>
      <c r="F3" s="135"/>
      <c r="G3" s="302"/>
      <c r="H3" s="302"/>
      <c r="I3" s="302"/>
      <c r="J3" s="302"/>
      <c r="K3" s="302"/>
      <c r="L3" s="302"/>
      <c r="M3" s="135"/>
    </row>
    <row r="4" spans="1:13" ht="12.75">
      <c r="A4" s="135"/>
      <c r="B4" s="135"/>
      <c r="C4" s="135"/>
      <c r="D4" s="135"/>
      <c r="E4" s="135"/>
      <c r="F4" s="135"/>
      <c r="G4" s="220"/>
      <c r="H4" s="220"/>
      <c r="I4" s="220"/>
      <c r="J4" s="220"/>
      <c r="K4" s="220"/>
      <c r="L4" s="220"/>
      <c r="M4" s="135"/>
    </row>
    <row r="5" spans="1:13" ht="12.75">
      <c r="A5" s="135"/>
      <c r="B5" s="135"/>
      <c r="C5" s="135"/>
      <c r="D5" s="135"/>
      <c r="E5" s="135"/>
      <c r="F5" s="135"/>
      <c r="G5" s="220"/>
      <c r="H5" s="220"/>
      <c r="I5" s="220"/>
      <c r="J5" s="220"/>
      <c r="K5" s="220"/>
      <c r="L5" s="220" t="s">
        <v>710</v>
      </c>
      <c r="M5" s="135"/>
    </row>
    <row r="6" spans="1:13" ht="12.75">
      <c r="A6" s="135"/>
      <c r="B6" s="135"/>
      <c r="C6" s="135"/>
      <c r="D6" s="135"/>
      <c r="E6" s="135"/>
      <c r="F6" s="135"/>
      <c r="G6" s="303" t="s">
        <v>712</v>
      </c>
      <c r="H6" s="303"/>
      <c r="I6" s="303"/>
      <c r="J6" s="303"/>
      <c r="K6" s="303"/>
      <c r="L6" s="303"/>
      <c r="M6" s="135"/>
    </row>
    <row r="7" spans="1:13" ht="12.75">
      <c r="A7" s="135"/>
      <c r="B7" s="135"/>
      <c r="C7" s="135"/>
      <c r="D7" s="135"/>
      <c r="E7" s="135"/>
      <c r="F7" s="135"/>
      <c r="G7" s="207"/>
      <c r="H7" s="207"/>
      <c r="I7" s="207"/>
      <c r="J7" s="207"/>
      <c r="K7" s="207"/>
      <c r="L7" s="207"/>
      <c r="M7" s="135"/>
    </row>
    <row r="8" spans="1:13" ht="18.75">
      <c r="A8" s="304" t="s">
        <v>711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</row>
    <row r="9" spans="1:13" ht="18.75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</row>
    <row r="10" spans="1:13" ht="40.5" customHeight="1">
      <c r="A10" s="299" t="s">
        <v>21</v>
      </c>
      <c r="B10" s="299"/>
      <c r="C10" s="300" t="str">
        <f>'LKT-1;Delfīniju '!B5</f>
        <v>Lietus ūdens kanalizācijas ārējie tīkli KDS "Ziedonis", Katlakalns, Ķekavas pagasts, Ķekavas novads</v>
      </c>
      <c r="D10" s="300"/>
      <c r="E10" s="300"/>
      <c r="F10" s="300"/>
      <c r="G10" s="300"/>
      <c r="H10" s="300"/>
      <c r="I10" s="300"/>
      <c r="J10" s="300"/>
      <c r="K10" s="300"/>
      <c r="L10" s="300"/>
      <c r="M10" s="300"/>
    </row>
    <row r="11" spans="1:13" ht="12.75">
      <c r="A11" s="296" t="s">
        <v>22</v>
      </c>
      <c r="B11" s="296"/>
      <c r="C11" s="8" t="str">
        <f>'LKT-1;Delfīniju '!B6</f>
        <v>KDS "Ziedonis", Katlakalns, Ķekavas pagasts, Ķekavas novads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13" ht="12.75">
      <c r="A12" s="296"/>
      <c r="B12" s="29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s="130" customFormat="1" ht="12.75">
      <c r="A13" s="296"/>
      <c r="B13" s="296"/>
      <c r="C13" s="223"/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spans="1:14" ht="12.75">
      <c r="A14" s="130"/>
      <c r="B14" s="130"/>
      <c r="C14" s="130"/>
      <c r="D14" s="134"/>
      <c r="E14" s="297" t="s">
        <v>663</v>
      </c>
      <c r="F14" s="297"/>
      <c r="G14" s="297"/>
      <c r="H14" s="160"/>
      <c r="I14" s="224"/>
      <c r="J14" s="224"/>
      <c r="M14" s="160"/>
      <c r="N14" s="160"/>
    </row>
    <row r="15" spans="1:13" ht="13.5" thickBot="1">
      <c r="A15" s="225"/>
      <c r="B15" s="64"/>
      <c r="C15" s="64"/>
      <c r="D15" s="226"/>
      <c r="E15" s="226"/>
      <c r="F15" s="226"/>
      <c r="G15" s="226"/>
      <c r="H15" s="226"/>
      <c r="I15" s="227"/>
      <c r="J15" s="227"/>
      <c r="K15" s="222"/>
      <c r="L15" s="222"/>
      <c r="M15" s="222"/>
    </row>
    <row r="16" spans="1:13" ht="13.5" thickBot="1">
      <c r="A16" s="228" t="s">
        <v>703</v>
      </c>
      <c r="B16" s="298" t="s">
        <v>21</v>
      </c>
      <c r="C16" s="284"/>
      <c r="D16" s="284"/>
      <c r="E16" s="284"/>
      <c r="F16" s="284"/>
      <c r="G16" s="284"/>
      <c r="H16" s="284"/>
      <c r="I16" s="284"/>
      <c r="J16" s="284"/>
      <c r="K16" s="284" t="s">
        <v>718</v>
      </c>
      <c r="L16" s="284"/>
      <c r="M16" s="285"/>
    </row>
    <row r="17" spans="1:13" ht="12.75">
      <c r="A17" s="229"/>
      <c r="B17" s="286"/>
      <c r="C17" s="286"/>
      <c r="D17" s="286"/>
      <c r="E17" s="286"/>
      <c r="F17" s="286"/>
      <c r="G17" s="286"/>
      <c r="H17" s="286"/>
      <c r="I17" s="286"/>
      <c r="J17" s="287"/>
      <c r="K17" s="288"/>
      <c r="L17" s="286"/>
      <c r="M17" s="289"/>
    </row>
    <row r="18" spans="1:13" ht="42" customHeight="1">
      <c r="A18" s="230">
        <v>1</v>
      </c>
      <c r="B18" s="290" t="str">
        <f>C10</f>
        <v>Lietus ūdens kanalizācijas ārējie tīkli KDS "Ziedonis", Katlakalns, Ķekavas pagasts, Ķekavas novads</v>
      </c>
      <c r="C18" s="291"/>
      <c r="D18" s="291"/>
      <c r="E18" s="291"/>
      <c r="F18" s="291"/>
      <c r="G18" s="291"/>
      <c r="H18" s="291"/>
      <c r="I18" s="291"/>
      <c r="J18" s="292"/>
      <c r="K18" s="293"/>
      <c r="L18" s="294"/>
      <c r="M18" s="295"/>
    </row>
    <row r="19" spans="1:13" ht="13.5" thickBot="1">
      <c r="A19" s="231"/>
      <c r="B19" s="274"/>
      <c r="C19" s="274"/>
      <c r="D19" s="274"/>
      <c r="E19" s="274"/>
      <c r="F19" s="274"/>
      <c r="G19" s="274"/>
      <c r="H19" s="274"/>
      <c r="I19" s="274"/>
      <c r="J19" s="275"/>
      <c r="K19" s="276"/>
      <c r="L19" s="277"/>
      <c r="M19" s="278"/>
    </row>
    <row r="20" spans="1:13" ht="12.75">
      <c r="A20" s="232"/>
      <c r="B20" s="280" t="s">
        <v>704</v>
      </c>
      <c r="C20" s="281"/>
      <c r="D20" s="281"/>
      <c r="E20" s="281"/>
      <c r="F20" s="281"/>
      <c r="G20" s="281"/>
      <c r="H20" s="281"/>
      <c r="I20" s="281"/>
      <c r="J20" s="281"/>
      <c r="K20" s="267"/>
      <c r="L20" s="282"/>
      <c r="M20" s="268"/>
    </row>
    <row r="21" spans="1:14" ht="12.75">
      <c r="A21" s="249" t="s">
        <v>706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1"/>
      <c r="L21" s="283"/>
      <c r="M21" s="247"/>
      <c r="N21" s="233"/>
    </row>
    <row r="22" spans="1:13" ht="12.75">
      <c r="A22" s="256" t="s">
        <v>707</v>
      </c>
      <c r="B22" s="257"/>
      <c r="C22" s="257"/>
      <c r="D22" s="257"/>
      <c r="E22" s="257"/>
      <c r="F22" s="257"/>
      <c r="G22" s="257"/>
      <c r="H22" s="257"/>
      <c r="I22" s="257"/>
      <c r="J22" s="244">
        <v>0.21</v>
      </c>
      <c r="K22" s="258"/>
      <c r="L22" s="258"/>
      <c r="M22" s="259"/>
    </row>
    <row r="23" spans="1:13" ht="13.5" thickBot="1">
      <c r="A23" s="252" t="s">
        <v>706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4"/>
      <c r="L23" s="279"/>
      <c r="M23" s="255"/>
    </row>
    <row r="24" spans="1:13" ht="12.75">
      <c r="A24" s="234"/>
      <c r="B24" s="234"/>
      <c r="C24" s="234"/>
      <c r="D24" s="235"/>
      <c r="E24" s="235"/>
      <c r="F24" s="235"/>
      <c r="G24" s="235"/>
      <c r="H24" s="235"/>
      <c r="I24" s="234"/>
      <c r="J24" s="234"/>
      <c r="K24" s="236"/>
      <c r="L24" s="235"/>
      <c r="M24" s="235"/>
    </row>
    <row r="25" spans="1:13" ht="12.75">
      <c r="A25" s="234"/>
      <c r="B25" s="234"/>
      <c r="C25" s="234"/>
      <c r="D25" s="235"/>
      <c r="E25" s="235"/>
      <c r="F25" s="235"/>
      <c r="G25" s="235"/>
      <c r="H25" s="235"/>
      <c r="I25" s="234"/>
      <c r="J25" s="234"/>
      <c r="K25" s="236"/>
      <c r="L25" s="235"/>
      <c r="M25" s="235"/>
    </row>
    <row r="26" spans="1:13" ht="12.75">
      <c r="A26" s="130" t="s">
        <v>660</v>
      </c>
      <c r="B26" s="157"/>
      <c r="E26" s="222"/>
      <c r="F26" s="134"/>
      <c r="G26" s="237"/>
      <c r="H26" s="134"/>
      <c r="I26" s="130"/>
      <c r="J26" s="130"/>
      <c r="K26" s="130"/>
      <c r="L26" s="130"/>
      <c r="M26" s="130"/>
    </row>
    <row r="27" spans="1:13" ht="12.75">
      <c r="A27" s="130"/>
      <c r="B27" s="130"/>
      <c r="C27" s="130"/>
      <c r="D27" s="134"/>
      <c r="E27" s="134"/>
      <c r="F27" s="134"/>
      <c r="G27" s="134"/>
      <c r="H27" s="134"/>
      <c r="I27" s="130"/>
      <c r="J27" s="130"/>
      <c r="K27" s="130"/>
      <c r="L27" s="130"/>
      <c r="M27" s="130"/>
    </row>
    <row r="28" spans="1:13" ht="12.75">
      <c r="A28" s="130" t="s">
        <v>6</v>
      </c>
      <c r="B28" s="130"/>
      <c r="D28" s="30"/>
      <c r="E28" s="222"/>
      <c r="F28" s="134"/>
      <c r="G28" s="237"/>
      <c r="H28" s="134"/>
      <c r="I28" s="130"/>
      <c r="J28" s="130"/>
      <c r="K28" s="130"/>
      <c r="L28" s="130"/>
      <c r="M28" s="130"/>
    </row>
    <row r="29" spans="2:13" ht="12.75">
      <c r="B29" s="160"/>
      <c r="C29" s="160"/>
      <c r="D29" s="30"/>
      <c r="E29" s="222"/>
      <c r="F29" s="134"/>
      <c r="G29" s="134"/>
      <c r="H29" s="134"/>
      <c r="I29" s="130"/>
      <c r="J29" s="130"/>
      <c r="K29" s="130"/>
      <c r="L29" s="130"/>
      <c r="M29" s="130"/>
    </row>
  </sheetData>
  <sheetProtection/>
  <mergeCells count="27">
    <mergeCell ref="A10:B10"/>
    <mergeCell ref="C10:M10"/>
    <mergeCell ref="I1:L1"/>
    <mergeCell ref="G2:L2"/>
    <mergeCell ref="G3:L3"/>
    <mergeCell ref="G6:L6"/>
    <mergeCell ref="A8:M8"/>
    <mergeCell ref="A11:B11"/>
    <mergeCell ref="E14:G14"/>
    <mergeCell ref="B16:J16"/>
    <mergeCell ref="A12:B12"/>
    <mergeCell ref="A13:B13"/>
    <mergeCell ref="K16:M16"/>
    <mergeCell ref="B17:J17"/>
    <mergeCell ref="K17:M17"/>
    <mergeCell ref="B18:J18"/>
    <mergeCell ref="K18:M18"/>
    <mergeCell ref="B19:J19"/>
    <mergeCell ref="K19:M19"/>
    <mergeCell ref="A23:J23"/>
    <mergeCell ref="K23:M23"/>
    <mergeCell ref="B20:J20"/>
    <mergeCell ref="K20:M20"/>
    <mergeCell ref="A21:J21"/>
    <mergeCell ref="K21:M21"/>
    <mergeCell ref="A22:I22"/>
    <mergeCell ref="K22:M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&amp;CLapa &amp;P no &amp;N;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SheetLayoutView="100" zoomScalePageLayoutView="0" workbookViewId="0" topLeftCell="A19">
      <selection activeCell="C35" sqref="C35"/>
    </sheetView>
  </sheetViews>
  <sheetFormatPr defaultColWidth="9.140625" defaultRowHeight="12.75"/>
  <cols>
    <col min="1" max="1" width="4.421875" style="135" customWidth="1"/>
    <col min="2" max="2" width="12.421875" style="135" customWidth="1"/>
    <col min="3" max="3" width="32.140625" style="135" customWidth="1"/>
    <col min="4" max="4" width="11.57421875" style="135" customWidth="1"/>
    <col min="5" max="5" width="8.8515625" style="135" customWidth="1"/>
    <col min="6" max="6" width="10.28125" style="135" customWidth="1"/>
    <col min="7" max="7" width="11.7109375" style="135" customWidth="1"/>
    <col min="8" max="8" width="11.8515625" style="135" customWidth="1"/>
    <col min="9" max="11" width="9.140625" style="135" customWidth="1"/>
    <col min="12" max="12" width="10.140625" style="135" bestFit="1" customWidth="1"/>
    <col min="13" max="16384" width="9.140625" style="135" customWidth="1"/>
  </cols>
  <sheetData>
    <row r="1" ht="15.75">
      <c r="B1" s="136" t="s">
        <v>647</v>
      </c>
    </row>
    <row r="2" ht="15.75">
      <c r="B2" s="136"/>
    </row>
    <row r="3" ht="15.75">
      <c r="B3" s="136"/>
    </row>
    <row r="4" ht="15.75">
      <c r="B4" s="136"/>
    </row>
    <row r="5" spans="1:15" s="31" customFormat="1" ht="27" customHeight="1">
      <c r="A5" s="303" t="s">
        <v>21</v>
      </c>
      <c r="B5" s="303"/>
      <c r="C5" s="306" t="str">
        <f>'LKT-1;Delfīniju '!B5</f>
        <v>Lietus ūdens kanalizācijas ārējie tīkli KDS "Ziedonis", Katlakalns, Ķekavas pagasts, Ķekavas novads</v>
      </c>
      <c r="D5" s="306"/>
      <c r="E5" s="306"/>
      <c r="F5" s="306"/>
      <c r="G5" s="306"/>
      <c r="H5" s="306"/>
      <c r="I5" s="135"/>
      <c r="J5" s="135"/>
      <c r="K5" s="135"/>
      <c r="L5" s="135"/>
      <c r="M5" s="135"/>
      <c r="N5" s="135"/>
      <c r="O5" s="135"/>
    </row>
    <row r="6" spans="1:15" s="31" customFormat="1" ht="12.75">
      <c r="A6" s="303" t="s">
        <v>22</v>
      </c>
      <c r="B6" s="303"/>
      <c r="C6" s="306" t="str">
        <f>'LKT-1;Delfīniju '!B6</f>
        <v>KDS "Ziedonis", Katlakalns, Ķekavas pagasts, Ķekavas novads</v>
      </c>
      <c r="D6" s="306"/>
      <c r="E6" s="306"/>
      <c r="F6" s="306"/>
      <c r="G6" s="306"/>
      <c r="H6" s="306"/>
      <c r="I6" s="135"/>
      <c r="J6" s="135"/>
      <c r="K6" s="135"/>
      <c r="L6" s="135"/>
      <c r="M6" s="135"/>
      <c r="N6" s="135"/>
      <c r="O6" s="135"/>
    </row>
    <row r="7" spans="1:15" s="31" customFormat="1" ht="12.75">
      <c r="A7" s="303"/>
      <c r="B7" s="303"/>
      <c r="C7" s="306"/>
      <c r="D7" s="306"/>
      <c r="E7" s="306"/>
      <c r="F7" s="306"/>
      <c r="G7" s="306"/>
      <c r="H7" s="306"/>
      <c r="I7" s="135"/>
      <c r="J7" s="135"/>
      <c r="K7" s="135"/>
      <c r="L7" s="135"/>
      <c r="M7" s="135"/>
      <c r="N7" s="135"/>
      <c r="O7" s="135"/>
    </row>
    <row r="8" spans="1:15" s="31" customFormat="1" ht="12.75">
      <c r="A8" s="303"/>
      <c r="B8" s="303"/>
      <c r="C8" s="306"/>
      <c r="D8" s="306"/>
      <c r="E8" s="306"/>
      <c r="F8" s="306"/>
      <c r="G8" s="306"/>
      <c r="H8" s="306"/>
      <c r="I8" s="135"/>
      <c r="J8" s="135"/>
      <c r="K8" s="135"/>
      <c r="L8" s="135"/>
      <c r="M8" s="135"/>
      <c r="N8" s="135"/>
      <c r="O8" s="135"/>
    </row>
    <row r="9" spans="1:15" s="31" customFormat="1" ht="12.75">
      <c r="A9" s="207"/>
      <c r="B9" s="207"/>
      <c r="C9" s="208"/>
      <c r="D9" s="208"/>
      <c r="E9" s="208"/>
      <c r="F9" s="208"/>
      <c r="G9" s="208"/>
      <c r="H9" s="208"/>
      <c r="I9" s="135"/>
      <c r="J9" s="135"/>
      <c r="K9" s="135"/>
      <c r="L9" s="135"/>
      <c r="M9" s="135"/>
      <c r="N9" s="135"/>
      <c r="O9" s="135"/>
    </row>
    <row r="10" spans="1:15" s="31" customFormat="1" ht="12.75">
      <c r="A10" s="207"/>
      <c r="B10" s="207"/>
      <c r="C10" s="208"/>
      <c r="D10" s="208"/>
      <c r="E10" s="208"/>
      <c r="F10" s="208"/>
      <c r="G10" s="208"/>
      <c r="H10" s="208"/>
      <c r="I10" s="135"/>
      <c r="J10" s="135"/>
      <c r="K10" s="135"/>
      <c r="L10" s="135"/>
      <c r="M10" s="135"/>
      <c r="N10" s="135"/>
      <c r="O10" s="135"/>
    </row>
    <row r="11" spans="1:15" s="31" customFormat="1" ht="12.75">
      <c r="A11" s="207"/>
      <c r="B11" s="207"/>
      <c r="C11" s="208"/>
      <c r="D11" s="208"/>
      <c r="E11" s="208"/>
      <c r="F11" s="208"/>
      <c r="G11" s="208"/>
      <c r="H11" s="208"/>
      <c r="I11" s="135"/>
      <c r="J11" s="135"/>
      <c r="K11" s="135"/>
      <c r="L11" s="135"/>
      <c r="M11" s="135"/>
      <c r="N11" s="135"/>
      <c r="O11" s="135"/>
    </row>
    <row r="12" spans="4:7" ht="12.75">
      <c r="D12" s="305" t="s">
        <v>713</v>
      </c>
      <c r="E12" s="305"/>
      <c r="F12" s="305"/>
      <c r="G12" s="137">
        <f>D36</f>
        <v>0</v>
      </c>
    </row>
    <row r="13" spans="4:7" ht="12.75" customHeight="1">
      <c r="D13" s="305" t="s">
        <v>648</v>
      </c>
      <c r="E13" s="305"/>
      <c r="F13" s="305"/>
      <c r="G13" s="138">
        <f>SUM(H21:H29)</f>
        <v>0</v>
      </c>
    </row>
    <row r="15" spans="4:6" ht="12.75">
      <c r="D15" s="301" t="s">
        <v>649</v>
      </c>
      <c r="E15" s="301"/>
      <c r="F15" s="31" t="str">
        <f>'[2]Būvnieka koptāme'!H14</f>
        <v>2013.gada maijā</v>
      </c>
    </row>
    <row r="16" spans="1:8" ht="12.75">
      <c r="A16" s="307" t="s">
        <v>650</v>
      </c>
      <c r="B16" s="307" t="s">
        <v>651</v>
      </c>
      <c r="C16" s="307" t="s">
        <v>652</v>
      </c>
      <c r="D16" s="307" t="s">
        <v>714</v>
      </c>
      <c r="E16" s="307" t="s">
        <v>653</v>
      </c>
      <c r="F16" s="307"/>
      <c r="G16" s="307"/>
      <c r="H16" s="307" t="s">
        <v>31</v>
      </c>
    </row>
    <row r="17" spans="1:8" ht="12.75" customHeight="1">
      <c r="A17" s="307"/>
      <c r="B17" s="307"/>
      <c r="C17" s="307"/>
      <c r="D17" s="307"/>
      <c r="E17" s="307" t="s">
        <v>715</v>
      </c>
      <c r="F17" s="307" t="s">
        <v>716</v>
      </c>
      <c r="G17" s="307" t="s">
        <v>717</v>
      </c>
      <c r="H17" s="307"/>
    </row>
    <row r="18" spans="1:8" ht="12.75">
      <c r="A18" s="307"/>
      <c r="B18" s="307"/>
      <c r="C18" s="307"/>
      <c r="D18" s="307"/>
      <c r="E18" s="307"/>
      <c r="F18" s="307"/>
      <c r="G18" s="307"/>
      <c r="H18" s="307"/>
    </row>
    <row r="19" spans="1:8" ht="13.5" thickBot="1">
      <c r="A19" s="308"/>
      <c r="B19" s="308"/>
      <c r="C19" s="308"/>
      <c r="D19" s="308"/>
      <c r="E19" s="308"/>
      <c r="F19" s="308"/>
      <c r="G19" s="308"/>
      <c r="H19" s="308"/>
    </row>
    <row r="20" spans="1:8" ht="11.25" customHeight="1" thickTop="1">
      <c r="A20" s="139"/>
      <c r="B20" s="140"/>
      <c r="C20" s="140"/>
      <c r="D20" s="140"/>
      <c r="E20" s="140"/>
      <c r="F20" s="140"/>
      <c r="G20" s="140"/>
      <c r="H20" s="140"/>
    </row>
    <row r="21" spans="1:8" ht="12.75">
      <c r="A21" s="141">
        <v>1</v>
      </c>
      <c r="B21" s="142" t="str">
        <f>'LKT-1;Delfīniju '!A2</f>
        <v>LT-01</v>
      </c>
      <c r="C21" s="179" t="str">
        <f>'LKT-1;Delfīniju '!A3</f>
        <v>LKT-1; Delfīniju iela</v>
      </c>
      <c r="D21" s="143">
        <f>'LKT-1;Delfīniju '!J7</f>
        <v>0</v>
      </c>
      <c r="E21" s="143">
        <f>'LKT-1;Delfīniju '!L86</f>
        <v>0</v>
      </c>
      <c r="F21" s="143">
        <f>'LKT-1;Delfīniju '!M86</f>
        <v>0</v>
      </c>
      <c r="G21" s="143">
        <f>'LKT-1;Delfīniju '!N86</f>
        <v>0</v>
      </c>
      <c r="H21" s="143">
        <f>'LKT-1;Delfīniju '!K86</f>
        <v>0</v>
      </c>
    </row>
    <row r="22" spans="1:8" ht="14.25" customHeight="1">
      <c r="A22" s="141">
        <v>2</v>
      </c>
      <c r="B22" s="144" t="str">
        <f>'LKT-2;Krokusu '!A2</f>
        <v>LT-02</v>
      </c>
      <c r="C22" s="167" t="str">
        <f>'LKT-2;Krokusu '!A3</f>
        <v>LKT-2; Krokusu iela</v>
      </c>
      <c r="D22" s="143">
        <f>'LKT-2;Krokusu '!J8</f>
        <v>0</v>
      </c>
      <c r="E22" s="143">
        <f>'LKT-2;Krokusu '!L98</f>
        <v>0</v>
      </c>
      <c r="F22" s="143">
        <f>'LKT-2;Krokusu '!M98</f>
        <v>0</v>
      </c>
      <c r="G22" s="143">
        <f>'LKT-2;Krokusu '!N98</f>
        <v>0</v>
      </c>
      <c r="H22" s="143">
        <f>'LKT-2;Krokusu '!K98</f>
        <v>0</v>
      </c>
    </row>
    <row r="23" spans="1:8" ht="12.75">
      <c r="A23" s="141">
        <v>3</v>
      </c>
      <c r="B23" s="142" t="str">
        <f>'LKT-3;Cīruļu'!B3</f>
        <v>LT-03</v>
      </c>
      <c r="C23" s="144" t="str">
        <f>'LKT-3;Cīruļu'!A4</f>
        <v>LKT-3; Cīruļu iela</v>
      </c>
      <c r="D23" s="143">
        <f>'LKT-3;Cīruļu'!J8</f>
        <v>0</v>
      </c>
      <c r="E23" s="143">
        <f>'LKT-3;Cīruļu'!L94</f>
        <v>0</v>
      </c>
      <c r="F23" s="143">
        <f>'LKT-3;Cīruļu'!M94</f>
        <v>0</v>
      </c>
      <c r="G23" s="143">
        <f>'LKT-3;Cīruļu'!N94</f>
        <v>0</v>
      </c>
      <c r="H23" s="143">
        <f>'LKT-3;Cīruļu'!K94</f>
        <v>0</v>
      </c>
    </row>
    <row r="24" spans="1:8" ht="12.75">
      <c r="A24" s="141">
        <v>4</v>
      </c>
      <c r="B24" s="142" t="str">
        <f>'LKT-4;Prīmulu'!A2</f>
        <v>LT-04</v>
      </c>
      <c r="C24" s="144" t="str">
        <f>'LKT-4;Prīmulu'!A3</f>
        <v>LKT-04; Prīmulu iela</v>
      </c>
      <c r="D24" s="143">
        <f>'LKT-4;Prīmulu'!J7</f>
        <v>0</v>
      </c>
      <c r="E24" s="143">
        <f>'LKT-4;Prīmulu'!L81</f>
        <v>0</v>
      </c>
      <c r="F24" s="143">
        <f>'LKT-4;Prīmulu'!M81</f>
        <v>0</v>
      </c>
      <c r="G24" s="143">
        <f>'LKT-4;Prīmulu'!N81</f>
        <v>0</v>
      </c>
      <c r="H24" s="143">
        <f>'LKT-4;Prīmulu'!K81</f>
        <v>0</v>
      </c>
    </row>
    <row r="25" spans="1:8" ht="12.75">
      <c r="A25" s="141">
        <v>5</v>
      </c>
      <c r="B25" s="162" t="str">
        <f>'LKT-5;Vijolīšu'!B3</f>
        <v>LT-05</v>
      </c>
      <c r="C25" s="163" t="str">
        <f>'LKT-5;Vijolīšu'!A4</f>
        <v>LKT Vijolīšu iela</v>
      </c>
      <c r="D25" s="164">
        <f>'LKT-5;Vijolīšu'!J8</f>
        <v>0</v>
      </c>
      <c r="E25" s="164">
        <f>'LKT-5;Vijolīšu'!L76</f>
        <v>0</v>
      </c>
      <c r="F25" s="164">
        <f>'LKT-5;Vijolīšu'!M76</f>
        <v>0</v>
      </c>
      <c r="G25" s="164">
        <f>'LKT-5;Vijolīšu'!N76</f>
        <v>0</v>
      </c>
      <c r="H25" s="164">
        <f>'LKT-5;Vijolīšu'!K76</f>
        <v>0</v>
      </c>
    </row>
    <row r="26" spans="1:8" ht="12.75">
      <c r="A26" s="141">
        <v>6</v>
      </c>
      <c r="B26" s="162" t="str">
        <f>'LKT-6;Lefkoju'!A2</f>
        <v>LT-06</v>
      </c>
      <c r="C26" s="163" t="str">
        <f>'LKT-6;Lefkoju'!A3</f>
        <v>LKT-6; Lefkoju iela</v>
      </c>
      <c r="D26" s="164">
        <f>'LKT-6;Lefkoju'!J7</f>
        <v>0</v>
      </c>
      <c r="E26" s="164">
        <f>'LKT-6;Lefkoju'!L79</f>
        <v>0</v>
      </c>
      <c r="F26" s="164">
        <f>'LKT-6;Lefkoju'!M79</f>
        <v>0</v>
      </c>
      <c r="G26" s="164">
        <f>'LKT-6;Lefkoju'!N79</f>
        <v>0</v>
      </c>
      <c r="H26" s="164">
        <f>'LKT-6;Lefkoju'!K79</f>
        <v>0</v>
      </c>
    </row>
    <row r="27" spans="1:8" ht="12.75">
      <c r="A27" s="141">
        <v>7</v>
      </c>
      <c r="B27" s="162" t="str">
        <f>'LKT-7;Dāliju'!A2</f>
        <v>LT-07</v>
      </c>
      <c r="C27" s="163" t="str">
        <f>'LKT-7;Dāliju'!A3</f>
        <v>LKT-7; Dāliju iela</v>
      </c>
      <c r="D27" s="164">
        <f>'LKT-7;Dāliju'!J7</f>
        <v>0</v>
      </c>
      <c r="E27" s="164">
        <f>'LKT-7;Dāliju'!L89</f>
        <v>0</v>
      </c>
      <c r="F27" s="164">
        <f>'LKT-7;Dāliju'!M89</f>
        <v>0</v>
      </c>
      <c r="G27" s="164">
        <f>'LKT-7;Dāliju'!N89</f>
        <v>0</v>
      </c>
      <c r="H27" s="164">
        <f>'LKT-7;Dāliju'!K89</f>
        <v>0</v>
      </c>
    </row>
    <row r="28" spans="1:8" ht="12.75">
      <c r="A28" s="141">
        <v>8</v>
      </c>
      <c r="B28" s="162" t="str">
        <f>'LKT-8;Liliju'!A2</f>
        <v>LT-08</v>
      </c>
      <c r="C28" s="163" t="str">
        <f>'LKT-8;Liliju'!A3</f>
        <v>LKT-8; Liliju iela</v>
      </c>
      <c r="D28" s="164">
        <f>'LKT-8;Liliju'!J7</f>
        <v>0</v>
      </c>
      <c r="E28" s="164">
        <f>'LKT-8;Liliju'!L79</f>
        <v>0</v>
      </c>
      <c r="F28" s="164">
        <f>'LKT-8;Liliju'!M79</f>
        <v>0</v>
      </c>
      <c r="G28" s="164">
        <f>'LKT-8;Liliju'!N79</f>
        <v>0</v>
      </c>
      <c r="H28" s="164">
        <f>'LKT-8;Liliju'!K79</f>
        <v>0</v>
      </c>
    </row>
    <row r="29" spans="1:8" ht="12.75">
      <c r="A29" s="141">
        <v>9</v>
      </c>
      <c r="B29" s="162" t="str">
        <f>'LKT-9;Flokšu'!A2</f>
        <v>LT-09</v>
      </c>
      <c r="C29" s="163" t="str">
        <f>'LKT-9;Flokšu'!A3</f>
        <v>LKT-9; Flokšu iela</v>
      </c>
      <c r="D29" s="164">
        <f>'LKT-9;Flokšu'!J7</f>
        <v>0</v>
      </c>
      <c r="E29" s="164">
        <f>'LKT-9;Flokšu'!L77</f>
        <v>0</v>
      </c>
      <c r="F29" s="164">
        <f>'LKT-9;Flokšu'!M77</f>
        <v>0</v>
      </c>
      <c r="G29" s="164">
        <f>'LKT-9;Flokšu'!N77</f>
        <v>0</v>
      </c>
      <c r="H29" s="164">
        <f>'LKT-9;Flokšu'!K77</f>
        <v>0</v>
      </c>
    </row>
    <row r="30" spans="1:12" ht="18" customHeight="1" thickBot="1">
      <c r="A30" s="145"/>
      <c r="B30" s="146"/>
      <c r="C30" s="147"/>
      <c r="D30" s="148"/>
      <c r="E30" s="148"/>
      <c r="F30" s="148"/>
      <c r="G30" s="148"/>
      <c r="H30" s="148"/>
      <c r="L30" s="149"/>
    </row>
    <row r="31" spans="1:10" ht="13.5" thickTop="1">
      <c r="A31" s="150"/>
      <c r="B31" s="150"/>
      <c r="C31" s="151" t="s">
        <v>654</v>
      </c>
      <c r="D31" s="15">
        <f>SUM(D21:D30)</f>
        <v>0</v>
      </c>
      <c r="J31" s="149"/>
    </row>
    <row r="32" spans="1:4" ht="12.75">
      <c r="A32" s="310" t="s">
        <v>655</v>
      </c>
      <c r="B32" s="311"/>
      <c r="C32" s="152">
        <v>0.08</v>
      </c>
      <c r="D32" s="16">
        <f>ROUND(D31*C32,2)</f>
        <v>0</v>
      </c>
    </row>
    <row r="33" spans="1:11" ht="30" customHeight="1">
      <c r="A33" s="307" t="s">
        <v>656</v>
      </c>
      <c r="B33" s="307"/>
      <c r="C33" s="168">
        <v>0.15</v>
      </c>
      <c r="D33" s="142">
        <f>ROUND(D32*C33,2)</f>
        <v>0</v>
      </c>
      <c r="K33" s="153"/>
    </row>
    <row r="34" spans="1:11" ht="15.75" customHeight="1">
      <c r="A34" s="310" t="s">
        <v>657</v>
      </c>
      <c r="B34" s="311"/>
      <c r="C34" s="344"/>
      <c r="D34" s="16">
        <f>ROUND(D31*C34,2)</f>
        <v>0</v>
      </c>
      <c r="K34" s="154"/>
    </row>
    <row r="35" spans="1:11" ht="56.25" customHeight="1">
      <c r="A35" s="290" t="s">
        <v>658</v>
      </c>
      <c r="B35" s="292"/>
      <c r="C35" s="165">
        <v>0.2359</v>
      </c>
      <c r="D35" s="166">
        <f>ROUND(SUM(E20:E30)*C35,2)</f>
        <v>0</v>
      </c>
      <c r="K35" s="155"/>
    </row>
    <row r="36" spans="1:11" ht="15.75">
      <c r="A36" s="309" t="s">
        <v>659</v>
      </c>
      <c r="B36" s="309"/>
      <c r="C36" s="142"/>
      <c r="D36" s="156">
        <f>D31+D32+D34+D35</f>
        <v>0</v>
      </c>
      <c r="K36" s="154"/>
    </row>
    <row r="37" ht="12.75">
      <c r="K37" s="153"/>
    </row>
    <row r="38" ht="12.75">
      <c r="K38" s="153"/>
    </row>
    <row r="39" ht="12.75">
      <c r="K39" s="153"/>
    </row>
    <row r="40" ht="12.75">
      <c r="K40" s="153"/>
    </row>
    <row r="41" spans="1:7" ht="12.75">
      <c r="A41" s="130" t="s">
        <v>660</v>
      </c>
      <c r="B41" s="157"/>
      <c r="C41" s="158"/>
      <c r="D41" s="158"/>
      <c r="E41" s="134"/>
      <c r="G41" s="159"/>
    </row>
    <row r="42" spans="1:5" ht="12.75">
      <c r="A42" s="130"/>
      <c r="B42" s="130"/>
      <c r="C42" s="134"/>
      <c r="D42" s="134"/>
      <c r="E42" s="134"/>
    </row>
    <row r="43" spans="1:7" ht="12.75">
      <c r="A43" s="130" t="s">
        <v>6</v>
      </c>
      <c r="B43" s="130"/>
      <c r="C43" s="30"/>
      <c r="D43"/>
      <c r="E43" s="134"/>
      <c r="G43" s="159"/>
    </row>
    <row r="44" spans="3:5" ht="12.75">
      <c r="C44" s="30"/>
      <c r="D44" s="160"/>
      <c r="E44" s="160"/>
    </row>
    <row r="47" ht="12.75">
      <c r="C47" s="161"/>
    </row>
  </sheetData>
  <sheetProtection/>
  <mergeCells count="25">
    <mergeCell ref="A35:B35"/>
    <mergeCell ref="A36:B36"/>
    <mergeCell ref="A32:B32"/>
    <mergeCell ref="A33:B33"/>
    <mergeCell ref="A34:B34"/>
    <mergeCell ref="H16:H19"/>
    <mergeCell ref="E17:E19"/>
    <mergeCell ref="F17:F19"/>
    <mergeCell ref="G17:G19"/>
    <mergeCell ref="E16:G16"/>
    <mergeCell ref="D13:F13"/>
    <mergeCell ref="D15:E15"/>
    <mergeCell ref="A16:A19"/>
    <mergeCell ref="B16:B19"/>
    <mergeCell ref="C16:C19"/>
    <mergeCell ref="D16:D19"/>
    <mergeCell ref="D12:F12"/>
    <mergeCell ref="A5:B5"/>
    <mergeCell ref="A6:B6"/>
    <mergeCell ref="A7:B7"/>
    <mergeCell ref="A8:B8"/>
    <mergeCell ref="C5:H5"/>
    <mergeCell ref="C6:H6"/>
    <mergeCell ref="C7:H7"/>
    <mergeCell ref="C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  <headerFooter alignWithMargins="0">
    <oddFooter>&amp;CLapa &amp;P no &amp;N;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O101"/>
  <sheetViews>
    <sheetView view="pageBreakPreview" zoomScaleSheetLayoutView="100" zoomScalePageLayoutView="0" workbookViewId="0" topLeftCell="A74">
      <pane xSplit="4" topLeftCell="E1" activePane="topRight" state="frozen"/>
      <selection pane="topLeft" activeCell="B71" sqref="B71"/>
      <selection pane="topRight" activeCell="C85" sqref="C85"/>
    </sheetView>
  </sheetViews>
  <sheetFormatPr defaultColWidth="9.140625" defaultRowHeight="12.75" outlineLevelRow="1"/>
  <cols>
    <col min="1" max="1" width="13.421875" style="0" customWidth="1"/>
    <col min="2" max="2" width="48.28125" style="0" customWidth="1"/>
    <col min="3" max="3" width="11.7109375" style="0" customWidth="1"/>
    <col min="4" max="4" width="11.140625" style="101" customWidth="1"/>
    <col min="5" max="5" width="7.7109375" style="0" customWidth="1"/>
    <col min="6" max="6" width="6.140625" style="0" customWidth="1"/>
    <col min="7" max="7" width="8.00390625" style="0" customWidth="1"/>
    <col min="8" max="8" width="8.421875" style="0" customWidth="1"/>
    <col min="9" max="9" width="7.00390625" style="0" customWidth="1"/>
    <col min="10" max="10" width="9.57421875" style="0" customWidth="1"/>
    <col min="11" max="11" width="8.7109375" style="0" customWidth="1"/>
    <col min="12" max="12" width="9.421875" style="0" bestFit="1" customWidth="1"/>
    <col min="13" max="13" width="9.7109375" style="0" customWidth="1"/>
    <col min="14" max="14" width="9.421875" style="0" bestFit="1" customWidth="1"/>
    <col min="15" max="15" width="10.421875" style="0" bestFit="1" customWidth="1"/>
    <col min="16" max="16" width="10.28125" style="0" bestFit="1" customWidth="1"/>
  </cols>
  <sheetData>
    <row r="1" spans="4:9" ht="12.75" outlineLevel="1">
      <c r="D1" s="101">
        <v>0.7028</v>
      </c>
      <c r="F1">
        <f>ROUND(3.8/D1,2)</f>
        <v>5.41</v>
      </c>
      <c r="I1" s="29">
        <v>0.08</v>
      </c>
    </row>
    <row r="2" spans="1:15" s="31" customFormat="1" ht="15.75" thickBot="1">
      <c r="A2" s="330" t="s">
        <v>693</v>
      </c>
      <c r="B2" s="330"/>
      <c r="C2" s="40"/>
      <c r="D2" s="102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31" customFormat="1" ht="14.25" customHeight="1" thickTop="1">
      <c r="A3" s="329" t="s">
        <v>214</v>
      </c>
      <c r="B3" s="329"/>
      <c r="C3" s="329"/>
      <c r="D3" s="32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31" customFormat="1" ht="12.75">
      <c r="A4" s="19"/>
      <c r="B4" s="19"/>
      <c r="C4" s="19"/>
      <c r="D4" s="103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31" customFormat="1" ht="25.5">
      <c r="A5" s="41" t="s">
        <v>21</v>
      </c>
      <c r="B5" s="331" t="s">
        <v>163</v>
      </c>
      <c r="C5" s="331"/>
      <c r="D5" s="331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31" customFormat="1" ht="12.75">
      <c r="A6" s="8" t="s">
        <v>22</v>
      </c>
      <c r="B6" s="320" t="s">
        <v>212</v>
      </c>
      <c r="C6" s="320"/>
      <c r="D6" s="320"/>
      <c r="E6" s="14"/>
      <c r="F6" s="14"/>
      <c r="G6" s="14"/>
      <c r="H6" s="14"/>
      <c r="I6" s="14"/>
      <c r="J6" s="14"/>
      <c r="K6" s="14"/>
      <c r="L6" s="8"/>
      <c r="M6" s="8"/>
      <c r="N6" s="8"/>
      <c r="O6" s="8"/>
    </row>
    <row r="7" spans="1:15" s="31" customFormat="1" ht="12.75">
      <c r="A7" s="8"/>
      <c r="B7" s="320"/>
      <c r="C7" s="320"/>
      <c r="D7" s="320"/>
      <c r="E7" s="50"/>
      <c r="F7" s="50"/>
      <c r="H7" s="1"/>
      <c r="I7" s="17" t="s">
        <v>8</v>
      </c>
      <c r="J7" s="2">
        <f>O86</f>
        <v>0</v>
      </c>
      <c r="K7" s="204" t="s">
        <v>685</v>
      </c>
      <c r="L7" s="53"/>
      <c r="M7" s="8"/>
      <c r="N7" s="8"/>
      <c r="O7" s="8"/>
    </row>
    <row r="8" spans="1:15" s="31" customFormat="1" ht="13.5" thickBot="1">
      <c r="A8" s="8"/>
      <c r="B8" s="320"/>
      <c r="C8" s="320"/>
      <c r="D8" s="320"/>
      <c r="E8" s="52"/>
      <c r="F8" s="53"/>
      <c r="G8" s="322" t="s">
        <v>663</v>
      </c>
      <c r="H8" s="322"/>
      <c r="I8" s="322"/>
      <c r="J8" s="323" t="s">
        <v>686</v>
      </c>
      <c r="K8" s="323"/>
      <c r="L8" s="323"/>
      <c r="M8" s="53"/>
      <c r="N8" s="53"/>
      <c r="O8" s="53"/>
    </row>
    <row r="9" spans="1:15" s="31" customFormat="1" ht="18.75" customHeight="1">
      <c r="A9" s="324" t="s">
        <v>24</v>
      </c>
      <c r="B9" s="318" t="s">
        <v>25</v>
      </c>
      <c r="C9" s="327" t="s">
        <v>26</v>
      </c>
      <c r="D9" s="316" t="s">
        <v>27</v>
      </c>
      <c r="E9" s="318" t="s">
        <v>28</v>
      </c>
      <c r="F9" s="318"/>
      <c r="G9" s="318"/>
      <c r="H9" s="318"/>
      <c r="I9" s="318"/>
      <c r="J9" s="318"/>
      <c r="K9" s="318" t="s">
        <v>29</v>
      </c>
      <c r="L9" s="318" t="s">
        <v>29</v>
      </c>
      <c r="M9" s="318"/>
      <c r="N9" s="318"/>
      <c r="O9" s="321"/>
    </row>
    <row r="10" spans="1:15" s="31" customFormat="1" ht="77.25" customHeight="1" thickBot="1">
      <c r="A10" s="325"/>
      <c r="B10" s="326"/>
      <c r="C10" s="328"/>
      <c r="D10" s="317"/>
      <c r="E10" s="32" t="s">
        <v>30</v>
      </c>
      <c r="F10" s="32" t="s">
        <v>678</v>
      </c>
      <c r="G10" s="32" t="s">
        <v>677</v>
      </c>
      <c r="H10" s="56" t="s">
        <v>679</v>
      </c>
      <c r="I10" s="32" t="s">
        <v>680</v>
      </c>
      <c r="J10" s="32" t="s">
        <v>681</v>
      </c>
      <c r="K10" s="32" t="s">
        <v>31</v>
      </c>
      <c r="L10" s="32" t="s">
        <v>682</v>
      </c>
      <c r="M10" s="32" t="s">
        <v>683</v>
      </c>
      <c r="N10" s="32" t="s">
        <v>680</v>
      </c>
      <c r="O10" s="57" t="s">
        <v>684</v>
      </c>
    </row>
    <row r="11" spans="1:15" s="3" customFormat="1" ht="15" customHeight="1" thickBot="1">
      <c r="A11" s="58">
        <v>1</v>
      </c>
      <c r="B11" s="59">
        <v>2</v>
      </c>
      <c r="C11" s="59">
        <v>3</v>
      </c>
      <c r="D11" s="106">
        <v>4</v>
      </c>
      <c r="E11" s="59">
        <v>5</v>
      </c>
      <c r="F11" s="59">
        <v>6</v>
      </c>
      <c r="G11" s="59">
        <v>7</v>
      </c>
      <c r="H11" s="59">
        <v>8</v>
      </c>
      <c r="I11" s="59">
        <v>9</v>
      </c>
      <c r="J11" s="59">
        <v>10</v>
      </c>
      <c r="K11" s="59">
        <v>11</v>
      </c>
      <c r="L11" s="59">
        <v>12</v>
      </c>
      <c r="M11" s="59">
        <v>13</v>
      </c>
      <c r="N11" s="59">
        <v>14</v>
      </c>
      <c r="O11" s="60">
        <v>15</v>
      </c>
    </row>
    <row r="12" spans="1:15" s="44" customFormat="1" ht="15" customHeight="1" thickBot="1">
      <c r="A12" s="71"/>
      <c r="B12" s="71"/>
      <c r="C12" s="71"/>
      <c r="D12" s="107"/>
      <c r="E12" s="72"/>
      <c r="F12" s="72"/>
      <c r="G12" s="72"/>
      <c r="H12" s="72"/>
      <c r="I12" s="72"/>
      <c r="J12" s="61"/>
      <c r="K12" s="61"/>
      <c r="L12" s="61"/>
      <c r="M12" s="61"/>
      <c r="N12" s="61"/>
      <c r="O12" s="61"/>
    </row>
    <row r="13" spans="1:15" s="45" customFormat="1" ht="15" customHeight="1" thickBot="1">
      <c r="A13" s="314" t="s">
        <v>107</v>
      </c>
      <c r="B13" s="315"/>
      <c r="C13" s="315"/>
      <c r="D13" s="315"/>
      <c r="E13" s="73"/>
      <c r="F13" s="72"/>
      <c r="G13" s="72"/>
      <c r="H13" s="72"/>
      <c r="I13" s="72"/>
      <c r="J13" s="61"/>
      <c r="K13" s="61"/>
      <c r="L13" s="61"/>
      <c r="M13" s="61"/>
      <c r="N13" s="61"/>
      <c r="O13" s="62"/>
    </row>
    <row r="14" spans="1:15" s="3" customFormat="1" ht="15" customHeight="1" thickBot="1">
      <c r="A14" s="312" t="s">
        <v>106</v>
      </c>
      <c r="B14" s="313"/>
      <c r="C14" s="313"/>
      <c r="D14" s="319"/>
      <c r="E14" s="74"/>
      <c r="F14" s="75"/>
      <c r="G14" s="15"/>
      <c r="H14" s="15"/>
      <c r="I14" s="15"/>
      <c r="J14" s="42"/>
      <c r="K14" s="42"/>
      <c r="L14" s="42"/>
      <c r="M14" s="42"/>
      <c r="N14" s="42"/>
      <c r="O14" s="43"/>
    </row>
    <row r="15" spans="1:15" s="27" customFormat="1" ht="12.75">
      <c r="A15" s="70" t="s">
        <v>52</v>
      </c>
      <c r="B15" s="76" t="s">
        <v>50</v>
      </c>
      <c r="C15" s="70" t="s">
        <v>32</v>
      </c>
      <c r="D15" s="104">
        <v>1</v>
      </c>
      <c r="E15" s="185"/>
      <c r="F15" s="21"/>
      <c r="G15" s="185"/>
      <c r="H15" s="193"/>
      <c r="I15" s="21"/>
      <c r="J15" s="21"/>
      <c r="K15" s="21"/>
      <c r="L15" s="21"/>
      <c r="M15" s="21"/>
      <c r="N15" s="21"/>
      <c r="O15" s="21"/>
    </row>
    <row r="16" spans="1:15" s="27" customFormat="1" ht="27" customHeight="1">
      <c r="A16" s="70" t="s">
        <v>53</v>
      </c>
      <c r="B16" s="78" t="s">
        <v>51</v>
      </c>
      <c r="C16" s="75" t="s">
        <v>47</v>
      </c>
      <c r="D16" s="104">
        <v>2</v>
      </c>
      <c r="E16" s="185"/>
      <c r="F16" s="21"/>
      <c r="G16" s="185"/>
      <c r="H16" s="193"/>
      <c r="I16" s="21"/>
      <c r="J16" s="21"/>
      <c r="K16" s="21"/>
      <c r="L16" s="21"/>
      <c r="M16" s="21"/>
      <c r="N16" s="21"/>
      <c r="O16" s="36"/>
    </row>
    <row r="17" spans="1:15" s="27" customFormat="1" ht="25.5">
      <c r="A17" s="70" t="s">
        <v>54</v>
      </c>
      <c r="B17" s="78" t="s">
        <v>154</v>
      </c>
      <c r="C17" s="75" t="s">
        <v>33</v>
      </c>
      <c r="D17" s="104">
        <v>1</v>
      </c>
      <c r="E17" s="185"/>
      <c r="F17" s="21"/>
      <c r="G17" s="185"/>
      <c r="H17" s="193"/>
      <c r="I17" s="21"/>
      <c r="J17" s="21"/>
      <c r="K17" s="21"/>
      <c r="L17" s="21"/>
      <c r="M17" s="21"/>
      <c r="N17" s="21"/>
      <c r="O17" s="36"/>
    </row>
    <row r="18" spans="1:15" s="27" customFormat="1" ht="25.5">
      <c r="A18" s="70" t="s">
        <v>55</v>
      </c>
      <c r="B18" s="78" t="s">
        <v>186</v>
      </c>
      <c r="C18" s="75" t="s">
        <v>16</v>
      </c>
      <c r="D18" s="104">
        <v>10</v>
      </c>
      <c r="E18" s="185"/>
      <c r="F18" s="21"/>
      <c r="G18" s="185"/>
      <c r="H18" s="185"/>
      <c r="I18" s="21"/>
      <c r="J18" s="21"/>
      <c r="K18" s="21"/>
      <c r="L18" s="21"/>
      <c r="M18" s="21"/>
      <c r="N18" s="21"/>
      <c r="O18" s="36"/>
    </row>
    <row r="19" spans="1:15" s="27" customFormat="1" ht="13.5" thickBot="1">
      <c r="A19" s="70" t="s">
        <v>56</v>
      </c>
      <c r="B19" s="78" t="s">
        <v>45</v>
      </c>
      <c r="C19" s="79" t="s">
        <v>46</v>
      </c>
      <c r="D19" s="104">
        <v>1</v>
      </c>
      <c r="E19" s="21"/>
      <c r="F19" s="21"/>
      <c r="G19" s="185"/>
      <c r="H19" s="193"/>
      <c r="I19" s="21"/>
      <c r="J19" s="21"/>
      <c r="K19" s="202"/>
      <c r="L19" s="21"/>
      <c r="M19" s="21"/>
      <c r="N19" s="21"/>
      <c r="O19" s="21"/>
    </row>
    <row r="20" spans="1:15" ht="14.25" customHeight="1" thickBot="1">
      <c r="A20" s="312" t="s">
        <v>105</v>
      </c>
      <c r="B20" s="313"/>
      <c r="C20" s="313"/>
      <c r="D20" s="319"/>
      <c r="E20" s="74"/>
      <c r="F20" s="75"/>
      <c r="G20" s="205"/>
      <c r="H20" s="205"/>
      <c r="I20" s="205"/>
      <c r="J20" s="42"/>
      <c r="K20" s="33"/>
      <c r="L20" s="33"/>
      <c r="M20" s="33"/>
      <c r="N20" s="33"/>
      <c r="O20" s="37"/>
    </row>
    <row r="21" spans="1:15" s="27" customFormat="1" ht="25.5">
      <c r="A21" s="77" t="s">
        <v>57</v>
      </c>
      <c r="B21" s="10" t="s">
        <v>155</v>
      </c>
      <c r="C21" s="79" t="s">
        <v>664</v>
      </c>
      <c r="D21" s="104">
        <f>52*1.2/100</f>
        <v>0.624</v>
      </c>
      <c r="E21" s="206"/>
      <c r="F21" s="21"/>
      <c r="G21" s="185"/>
      <c r="H21" s="185"/>
      <c r="I21" s="206"/>
      <c r="J21" s="21"/>
      <c r="K21" s="202"/>
      <c r="L21" s="21"/>
      <c r="M21" s="21"/>
      <c r="N21" s="21"/>
      <c r="O21" s="36"/>
    </row>
    <row r="22" spans="1:15" s="27" customFormat="1" ht="26.25" thickBot="1">
      <c r="A22" s="77" t="s">
        <v>58</v>
      </c>
      <c r="B22" s="81" t="s">
        <v>161</v>
      </c>
      <c r="C22" s="79" t="s">
        <v>48</v>
      </c>
      <c r="D22" s="104">
        <v>41</v>
      </c>
      <c r="E22" s="197"/>
      <c r="F22" s="21"/>
      <c r="G22" s="185"/>
      <c r="H22" s="185"/>
      <c r="I22" s="21"/>
      <c r="J22" s="21"/>
      <c r="K22" s="202"/>
      <c r="L22" s="21"/>
      <c r="M22" s="21"/>
      <c r="N22" s="21"/>
      <c r="O22" s="21"/>
    </row>
    <row r="23" spans="1:15" ht="62.25" customHeight="1" thickBot="1">
      <c r="A23" s="312" t="s">
        <v>104</v>
      </c>
      <c r="B23" s="313"/>
      <c r="C23" s="313"/>
      <c r="D23" s="319"/>
      <c r="E23" s="16"/>
      <c r="F23" s="70"/>
      <c r="G23" s="84"/>
      <c r="H23" s="84"/>
      <c r="I23" s="84"/>
      <c r="J23" s="21"/>
      <c r="K23" s="21"/>
      <c r="L23" s="33"/>
      <c r="M23" s="33"/>
      <c r="N23" s="33"/>
      <c r="O23" s="37"/>
    </row>
    <row r="24" spans="1:15" s="6" customFormat="1" ht="12.75">
      <c r="A24" s="77" t="s">
        <v>61</v>
      </c>
      <c r="B24" s="82" t="s">
        <v>11</v>
      </c>
      <c r="C24" s="83" t="s">
        <v>41</v>
      </c>
      <c r="D24" s="119">
        <v>1</v>
      </c>
      <c r="E24" s="42"/>
      <c r="F24" s="192"/>
      <c r="G24" s="185"/>
      <c r="H24" s="194"/>
      <c r="I24" s="185"/>
      <c r="J24" s="42"/>
      <c r="K24" s="202"/>
      <c r="L24" s="21"/>
      <c r="M24" s="21"/>
      <c r="N24" s="21"/>
      <c r="O24" s="21"/>
    </row>
    <row r="25" spans="1:15" s="27" customFormat="1" ht="12.75">
      <c r="A25" s="77" t="s">
        <v>62</v>
      </c>
      <c r="B25" s="82" t="s">
        <v>66</v>
      </c>
      <c r="C25" s="83" t="s">
        <v>41</v>
      </c>
      <c r="D25" s="119">
        <v>1</v>
      </c>
      <c r="E25" s="42"/>
      <c r="F25" s="192"/>
      <c r="G25" s="185"/>
      <c r="H25" s="194"/>
      <c r="I25" s="185"/>
      <c r="J25" s="42"/>
      <c r="K25" s="202"/>
      <c r="L25" s="21"/>
      <c r="M25" s="21"/>
      <c r="N25" s="21"/>
      <c r="O25" s="21"/>
    </row>
    <row r="26" spans="1:15" s="27" customFormat="1" ht="12.75">
      <c r="A26" s="77" t="s">
        <v>63</v>
      </c>
      <c r="B26" s="82" t="s">
        <v>14</v>
      </c>
      <c r="C26" s="83" t="s">
        <v>41</v>
      </c>
      <c r="D26" s="119">
        <v>8</v>
      </c>
      <c r="E26" s="42"/>
      <c r="F26" s="192"/>
      <c r="G26" s="185"/>
      <c r="H26" s="194"/>
      <c r="I26" s="185"/>
      <c r="J26" s="42"/>
      <c r="K26" s="202"/>
      <c r="L26" s="21"/>
      <c r="M26" s="21"/>
      <c r="N26" s="21"/>
      <c r="O26" s="21"/>
    </row>
    <row r="27" spans="1:15" s="27" customFormat="1" ht="13.5" thickBot="1">
      <c r="A27" s="77" t="s">
        <v>64</v>
      </c>
      <c r="B27" s="85" t="s">
        <v>69</v>
      </c>
      <c r="C27" s="25" t="s">
        <v>16</v>
      </c>
      <c r="D27" s="119">
        <v>1</v>
      </c>
      <c r="E27" s="184"/>
      <c r="F27" s="20"/>
      <c r="G27" s="185"/>
      <c r="H27" s="184"/>
      <c r="I27" s="21"/>
      <c r="J27" s="20"/>
      <c r="K27" s="20"/>
      <c r="L27" s="20"/>
      <c r="M27" s="20"/>
      <c r="N27" s="20"/>
      <c r="O27" s="20"/>
    </row>
    <row r="28" spans="1:15" ht="48.75" customHeight="1" thickBot="1">
      <c r="A28" s="312" t="s">
        <v>160</v>
      </c>
      <c r="B28" s="313"/>
      <c r="C28" s="313"/>
      <c r="D28" s="319"/>
      <c r="E28" s="86"/>
      <c r="F28" s="70"/>
      <c r="G28" s="84"/>
      <c r="H28" s="84"/>
      <c r="I28" s="84"/>
      <c r="J28" s="21"/>
      <c r="K28" s="33"/>
      <c r="L28" s="33"/>
      <c r="M28" s="33"/>
      <c r="N28" s="33"/>
      <c r="O28" s="37"/>
    </row>
    <row r="29" spans="1:15" s="27" customFormat="1" ht="12.75">
      <c r="A29" s="77" t="s">
        <v>65</v>
      </c>
      <c r="B29" s="80" t="s">
        <v>165</v>
      </c>
      <c r="C29" s="70" t="s">
        <v>33</v>
      </c>
      <c r="D29" s="104">
        <v>155</v>
      </c>
      <c r="E29" s="185"/>
      <c r="F29" s="21"/>
      <c r="G29" s="21"/>
      <c r="H29" s="185"/>
      <c r="I29" s="21"/>
      <c r="J29" s="21"/>
      <c r="K29" s="21"/>
      <c r="L29" s="21"/>
      <c r="M29" s="21"/>
      <c r="N29" s="21"/>
      <c r="O29" s="36"/>
    </row>
    <row r="30" spans="1:15" s="27" customFormat="1" ht="12.75">
      <c r="A30" s="77" t="s">
        <v>74</v>
      </c>
      <c r="B30" s="80" t="s">
        <v>164</v>
      </c>
      <c r="C30" s="70" t="s">
        <v>33</v>
      </c>
      <c r="D30" s="104">
        <v>21.1</v>
      </c>
      <c r="E30" s="185"/>
      <c r="F30" s="21"/>
      <c r="G30" s="21"/>
      <c r="H30" s="185"/>
      <c r="I30" s="185"/>
      <c r="J30" s="21"/>
      <c r="K30" s="21"/>
      <c r="L30" s="21"/>
      <c r="M30" s="21"/>
      <c r="N30" s="21"/>
      <c r="O30" s="36"/>
    </row>
    <row r="31" spans="1:15" s="27" customFormat="1" ht="26.25" thickBot="1">
      <c r="A31" s="77" t="s">
        <v>67</v>
      </c>
      <c r="B31" s="81" t="s">
        <v>111</v>
      </c>
      <c r="C31" s="70" t="s">
        <v>33</v>
      </c>
      <c r="D31" s="104">
        <f>30-D48*0.6</f>
        <v>24</v>
      </c>
      <c r="E31" s="185"/>
      <c r="F31" s="21"/>
      <c r="G31" s="21"/>
      <c r="H31" s="185"/>
      <c r="I31" s="21"/>
      <c r="J31" s="21"/>
      <c r="K31" s="21"/>
      <c r="L31" s="21"/>
      <c r="M31" s="21"/>
      <c r="N31" s="21"/>
      <c r="O31" s="36"/>
    </row>
    <row r="32" spans="1:15" ht="14.25" customHeight="1" thickBot="1">
      <c r="A32" s="312" t="s">
        <v>103</v>
      </c>
      <c r="B32" s="313"/>
      <c r="C32" s="313"/>
      <c r="D32" s="319"/>
      <c r="E32" s="87"/>
      <c r="F32" s="70"/>
      <c r="G32" s="84"/>
      <c r="H32" s="84"/>
      <c r="I32" s="84"/>
      <c r="J32" s="21"/>
      <c r="K32" s="21"/>
      <c r="L32" s="21"/>
      <c r="M32" s="21"/>
      <c r="N32" s="21"/>
      <c r="O32" s="36"/>
    </row>
    <row r="33" spans="1:15" ht="13.5" thickBot="1">
      <c r="A33" s="77" t="s">
        <v>68</v>
      </c>
      <c r="B33" s="81" t="s">
        <v>99</v>
      </c>
      <c r="C33" s="70" t="s">
        <v>100</v>
      </c>
      <c r="D33" s="104">
        <v>7</v>
      </c>
      <c r="E33" s="185"/>
      <c r="F33" s="21"/>
      <c r="G33" s="185"/>
      <c r="H33" s="185"/>
      <c r="I33" s="21"/>
      <c r="J33" s="21"/>
      <c r="K33" s="21"/>
      <c r="L33" s="21"/>
      <c r="M33" s="21"/>
      <c r="N33" s="21"/>
      <c r="O33" s="21"/>
    </row>
    <row r="34" spans="1:15" ht="33.75" customHeight="1" thickBot="1">
      <c r="A34" s="312" t="s">
        <v>102</v>
      </c>
      <c r="B34" s="313"/>
      <c r="C34" s="313"/>
      <c r="D34" s="319"/>
      <c r="E34" s="87"/>
      <c r="F34" s="70"/>
      <c r="G34" s="84"/>
      <c r="H34" s="84"/>
      <c r="I34" s="84"/>
      <c r="J34" s="21"/>
      <c r="K34" s="21"/>
      <c r="L34" s="21"/>
      <c r="M34" s="21"/>
      <c r="N34" s="21"/>
      <c r="O34" s="36"/>
    </row>
    <row r="35" spans="1:15" s="26" customFormat="1" ht="38.25">
      <c r="A35" s="77" t="s">
        <v>108</v>
      </c>
      <c r="B35" s="4" t="s">
        <v>211</v>
      </c>
      <c r="C35" s="79" t="s">
        <v>44</v>
      </c>
      <c r="D35" s="104">
        <f>D29*1.25*1.2+D30*1.75*1.2+D31*1.25*1.2-D43-D51-D73-D74-D79-D80-D81-D82-D76</f>
        <v>145.91639999999998</v>
      </c>
      <c r="E35" s="183"/>
      <c r="F35" s="21"/>
      <c r="G35" s="185"/>
      <c r="H35" s="185"/>
      <c r="I35" s="21"/>
      <c r="J35" s="21"/>
      <c r="K35" s="202"/>
      <c r="L35" s="21"/>
      <c r="M35" s="21"/>
      <c r="N35" s="21"/>
      <c r="O35" s="21"/>
    </row>
    <row r="36" spans="1:15" s="26" customFormat="1" ht="38.25">
      <c r="A36" s="77" t="s">
        <v>114</v>
      </c>
      <c r="B36" s="85" t="s">
        <v>109</v>
      </c>
      <c r="C36" s="88" t="s">
        <v>44</v>
      </c>
      <c r="D36" s="105">
        <f>ROUND(D35*0.1,1)</f>
        <v>14.6</v>
      </c>
      <c r="E36" s="185"/>
      <c r="F36" s="21"/>
      <c r="G36" s="185"/>
      <c r="H36" s="185"/>
      <c r="I36" s="185"/>
      <c r="J36" s="21"/>
      <c r="K36" s="202"/>
      <c r="L36" s="21"/>
      <c r="M36" s="21"/>
      <c r="N36" s="21"/>
      <c r="O36" s="21"/>
    </row>
    <row r="37" spans="1:15" s="26" customFormat="1" ht="12.75">
      <c r="A37" s="77" t="s">
        <v>115</v>
      </c>
      <c r="B37" s="7" t="s">
        <v>188</v>
      </c>
      <c r="C37" s="88" t="s">
        <v>44</v>
      </c>
      <c r="D37" s="105">
        <f>D36</f>
        <v>14.6</v>
      </c>
      <c r="E37" s="184"/>
      <c r="F37" s="20"/>
      <c r="G37" s="184"/>
      <c r="H37" s="184"/>
      <c r="I37" s="21"/>
      <c r="J37" s="20"/>
      <c r="K37" s="20"/>
      <c r="L37" s="20"/>
      <c r="M37" s="20"/>
      <c r="N37" s="20"/>
      <c r="O37" s="20"/>
    </row>
    <row r="38" spans="1:15" s="28" customFormat="1" ht="26.25" thickBot="1">
      <c r="A38" s="77" t="s">
        <v>116</v>
      </c>
      <c r="B38" s="81" t="s">
        <v>110</v>
      </c>
      <c r="C38" s="79" t="s">
        <v>44</v>
      </c>
      <c r="D38" s="104">
        <f>D36+D43+D51+D73+D74+D81+D82</f>
        <v>177.7</v>
      </c>
      <c r="E38" s="185"/>
      <c r="F38" s="21"/>
      <c r="G38" s="185"/>
      <c r="H38" s="185"/>
      <c r="I38" s="185"/>
      <c r="J38" s="21"/>
      <c r="K38" s="202"/>
      <c r="L38" s="21"/>
      <c r="M38" s="21"/>
      <c r="N38" s="21"/>
      <c r="O38" s="21"/>
    </row>
    <row r="39" spans="1:15" s="28" customFormat="1" ht="16.5" thickBot="1">
      <c r="A39" s="314" t="s">
        <v>166</v>
      </c>
      <c r="B39" s="315"/>
      <c r="C39" s="315"/>
      <c r="D39" s="315"/>
      <c r="E39" s="86"/>
      <c r="F39" s="70"/>
      <c r="G39" s="84"/>
      <c r="H39" s="84"/>
      <c r="I39" s="70"/>
      <c r="J39" s="21"/>
      <c r="K39" s="21"/>
      <c r="L39" s="21"/>
      <c r="M39" s="21"/>
      <c r="N39" s="21"/>
      <c r="O39" s="36"/>
    </row>
    <row r="40" spans="1:15" s="28" customFormat="1" ht="14.25" customHeight="1" thickBot="1">
      <c r="A40" s="312" t="s">
        <v>167</v>
      </c>
      <c r="B40" s="313"/>
      <c r="C40" s="313"/>
      <c r="D40" s="313"/>
      <c r="E40" s="86"/>
      <c r="F40" s="70"/>
      <c r="G40" s="84"/>
      <c r="H40" s="84"/>
      <c r="I40" s="70"/>
      <c r="J40" s="21"/>
      <c r="K40" s="21"/>
      <c r="L40" s="21"/>
      <c r="M40" s="21"/>
      <c r="N40" s="21"/>
      <c r="O40" s="36"/>
    </row>
    <row r="41" spans="1:15" s="28" customFormat="1" ht="12.75">
      <c r="A41" s="75" t="s">
        <v>117</v>
      </c>
      <c r="B41" s="78" t="s">
        <v>168</v>
      </c>
      <c r="C41" s="70" t="s">
        <v>33</v>
      </c>
      <c r="D41" s="104">
        <v>176.1</v>
      </c>
      <c r="E41" s="183"/>
      <c r="F41" s="21"/>
      <c r="G41" s="185"/>
      <c r="H41" s="193"/>
      <c r="I41" s="21"/>
      <c r="J41" s="21"/>
      <c r="K41" s="202"/>
      <c r="L41" s="21"/>
      <c r="M41" s="21"/>
      <c r="N41" s="21"/>
      <c r="O41" s="21"/>
    </row>
    <row r="42" spans="1:15" s="28" customFormat="1" ht="25.5">
      <c r="A42" s="75" t="s">
        <v>118</v>
      </c>
      <c r="B42" s="81" t="s">
        <v>687</v>
      </c>
      <c r="C42" s="70" t="s">
        <v>42</v>
      </c>
      <c r="D42" s="104">
        <f>ROUND((D46*0.41+D45*0.65),1)</f>
        <v>126.6</v>
      </c>
      <c r="E42" s="185"/>
      <c r="F42" s="21"/>
      <c r="G42" s="185"/>
      <c r="H42" s="185"/>
      <c r="I42" s="185"/>
      <c r="J42" s="21"/>
      <c r="K42" s="202"/>
      <c r="L42" s="21"/>
      <c r="M42" s="21"/>
      <c r="N42" s="21"/>
      <c r="O42" s="21"/>
    </row>
    <row r="43" spans="1:15" s="26" customFormat="1" ht="25.5">
      <c r="A43" s="77" t="s">
        <v>70</v>
      </c>
      <c r="B43" s="85" t="s">
        <v>688</v>
      </c>
      <c r="C43" s="88" t="s">
        <v>12</v>
      </c>
      <c r="D43" s="105">
        <f>ROUND((D46*0.0615+D45*0.065),1)</f>
        <v>13.3</v>
      </c>
      <c r="E43" s="185"/>
      <c r="F43" s="21"/>
      <c r="G43" s="185"/>
      <c r="H43" s="185"/>
      <c r="I43" s="185"/>
      <c r="J43" s="21"/>
      <c r="K43" s="202"/>
      <c r="L43" s="21"/>
      <c r="M43" s="21"/>
      <c r="N43" s="21"/>
      <c r="O43" s="21"/>
    </row>
    <row r="44" spans="1:15" s="28" customFormat="1" ht="12.75">
      <c r="A44" s="75" t="s">
        <v>71</v>
      </c>
      <c r="B44" s="89" t="s">
        <v>15</v>
      </c>
      <c r="C44" s="70" t="s">
        <v>33</v>
      </c>
      <c r="D44" s="104">
        <f>SUM(D45:D46)</f>
        <v>205.7</v>
      </c>
      <c r="E44" s="185"/>
      <c r="F44" s="21"/>
      <c r="G44" s="185"/>
      <c r="H44" s="185"/>
      <c r="I44" s="185"/>
      <c r="J44" s="21"/>
      <c r="K44" s="202"/>
      <c r="L44" s="21"/>
      <c r="M44" s="21"/>
      <c r="N44" s="21"/>
      <c r="O44" s="21"/>
    </row>
    <row r="45" spans="1:15" s="28" customFormat="1" ht="12.75">
      <c r="A45" s="75" t="s">
        <v>72</v>
      </c>
      <c r="B45" s="90" t="s">
        <v>169</v>
      </c>
      <c r="C45" s="25" t="s">
        <v>33</v>
      </c>
      <c r="D45" s="104">
        <v>176.1</v>
      </c>
      <c r="E45" s="184"/>
      <c r="F45" s="20"/>
      <c r="G45" s="184"/>
      <c r="H45" s="184"/>
      <c r="I45" s="21"/>
      <c r="J45" s="20"/>
      <c r="K45" s="20"/>
      <c r="L45" s="20"/>
      <c r="M45" s="20"/>
      <c r="N45" s="20"/>
      <c r="O45" s="20"/>
    </row>
    <row r="46" spans="1:15" s="28" customFormat="1" ht="12.75">
      <c r="A46" s="75" t="s">
        <v>119</v>
      </c>
      <c r="B46" s="90" t="s">
        <v>170</v>
      </c>
      <c r="C46" s="25" t="s">
        <v>33</v>
      </c>
      <c r="D46" s="104">
        <v>29.6</v>
      </c>
      <c r="E46" s="184"/>
      <c r="F46" s="20"/>
      <c r="G46" s="184"/>
      <c r="H46" s="184"/>
      <c r="I46" s="21"/>
      <c r="J46" s="20"/>
      <c r="K46" s="20"/>
      <c r="L46" s="20"/>
      <c r="M46" s="20"/>
      <c r="N46" s="20"/>
      <c r="O46" s="20"/>
    </row>
    <row r="47" spans="1:15" s="26" customFormat="1" ht="25.5">
      <c r="A47" s="77" t="s">
        <v>73</v>
      </c>
      <c r="B47" s="85" t="s">
        <v>691</v>
      </c>
      <c r="C47" s="88" t="s">
        <v>42</v>
      </c>
      <c r="D47" s="105">
        <f>D45</f>
        <v>176.1</v>
      </c>
      <c r="E47" s="184"/>
      <c r="F47" s="20"/>
      <c r="G47" s="184"/>
      <c r="H47" s="184"/>
      <c r="I47" s="21"/>
      <c r="J47" s="20"/>
      <c r="K47" s="20"/>
      <c r="L47" s="20"/>
      <c r="M47" s="20"/>
      <c r="N47" s="20"/>
      <c r="O47" s="20"/>
    </row>
    <row r="48" spans="1:15" s="28" customFormat="1" ht="45.75" customHeight="1">
      <c r="A48" s="75" t="s">
        <v>120</v>
      </c>
      <c r="B48" s="4" t="s">
        <v>193</v>
      </c>
      <c r="C48" s="70" t="s">
        <v>16</v>
      </c>
      <c r="D48" s="104">
        <v>10</v>
      </c>
      <c r="E48" s="185"/>
      <c r="F48" s="21"/>
      <c r="G48" s="185"/>
      <c r="H48" s="185"/>
      <c r="I48" s="21"/>
      <c r="J48" s="21"/>
      <c r="K48" s="202"/>
      <c r="L48" s="21"/>
      <c r="M48" s="21"/>
      <c r="N48" s="21"/>
      <c r="O48" s="21"/>
    </row>
    <row r="49" spans="1:15" s="28" customFormat="1" ht="38.25">
      <c r="A49" s="75" t="s">
        <v>121</v>
      </c>
      <c r="B49" s="7" t="s">
        <v>213</v>
      </c>
      <c r="C49" s="9" t="s">
        <v>32</v>
      </c>
      <c r="D49" s="104">
        <f>D48</f>
        <v>10</v>
      </c>
      <c r="E49" s="184"/>
      <c r="F49" s="20"/>
      <c r="G49" s="184"/>
      <c r="H49" s="184"/>
      <c r="I49" s="21"/>
      <c r="J49" s="20"/>
      <c r="K49" s="20"/>
      <c r="L49" s="20"/>
      <c r="M49" s="20"/>
      <c r="N49" s="20"/>
      <c r="O49" s="20"/>
    </row>
    <row r="50" spans="1:15" s="28" customFormat="1" ht="25.5">
      <c r="A50" s="75" t="s">
        <v>122</v>
      </c>
      <c r="B50" s="81" t="s">
        <v>690</v>
      </c>
      <c r="C50" s="70" t="s">
        <v>42</v>
      </c>
      <c r="D50" s="104">
        <f>D42</f>
        <v>126.6</v>
      </c>
      <c r="E50" s="185"/>
      <c r="F50" s="21"/>
      <c r="G50" s="185"/>
      <c r="H50" s="185"/>
      <c r="I50" s="185"/>
      <c r="J50" s="21"/>
      <c r="K50" s="202"/>
      <c r="L50" s="21"/>
      <c r="M50" s="21"/>
      <c r="N50" s="21"/>
      <c r="O50" s="21"/>
    </row>
    <row r="51" spans="1:15" s="26" customFormat="1" ht="25.5">
      <c r="A51" s="77" t="s">
        <v>123</v>
      </c>
      <c r="B51" s="85" t="s">
        <v>689</v>
      </c>
      <c r="C51" s="88" t="s">
        <v>12</v>
      </c>
      <c r="D51" s="105">
        <f>ROUND((D46*0.12+D45*0.2434),1)</f>
        <v>46.4</v>
      </c>
      <c r="E51" s="185"/>
      <c r="F51" s="21"/>
      <c r="G51" s="185"/>
      <c r="H51" s="185"/>
      <c r="I51" s="185"/>
      <c r="J51" s="21"/>
      <c r="K51" s="202"/>
      <c r="L51" s="21"/>
      <c r="M51" s="21"/>
      <c r="N51" s="21"/>
      <c r="O51" s="21"/>
    </row>
    <row r="52" spans="1:15" s="28" customFormat="1" ht="12.75">
      <c r="A52" s="75" t="s">
        <v>124</v>
      </c>
      <c r="B52" s="89" t="s">
        <v>86</v>
      </c>
      <c r="C52" s="70" t="s">
        <v>33</v>
      </c>
      <c r="D52" s="104">
        <f>D41</f>
        <v>176.1</v>
      </c>
      <c r="E52" s="183"/>
      <c r="F52" s="21"/>
      <c r="G52" s="185"/>
      <c r="H52" s="183"/>
      <c r="I52" s="21"/>
      <c r="J52" s="21"/>
      <c r="K52" s="202"/>
      <c r="L52" s="21"/>
      <c r="M52" s="21"/>
      <c r="N52" s="21"/>
      <c r="O52" s="36"/>
    </row>
    <row r="53" spans="1:15" s="28" customFormat="1" ht="12.75">
      <c r="A53" s="75" t="s">
        <v>125</v>
      </c>
      <c r="B53" s="90" t="s">
        <v>17</v>
      </c>
      <c r="C53" s="25" t="s">
        <v>33</v>
      </c>
      <c r="D53" s="104">
        <f>D52</f>
        <v>176.1</v>
      </c>
      <c r="E53" s="196"/>
      <c r="F53" s="20"/>
      <c r="G53" s="196"/>
      <c r="H53" s="196"/>
      <c r="I53" s="21"/>
      <c r="J53" s="20"/>
      <c r="K53" s="20"/>
      <c r="L53" s="20"/>
      <c r="M53" s="20"/>
      <c r="N53" s="20"/>
      <c r="O53" s="38"/>
    </row>
    <row r="54" spans="1:15" s="28" customFormat="1" ht="27">
      <c r="A54" s="75" t="s">
        <v>126</v>
      </c>
      <c r="B54" s="81" t="s">
        <v>0</v>
      </c>
      <c r="C54" s="25" t="s">
        <v>41</v>
      </c>
      <c r="D54" s="70">
        <v>1</v>
      </c>
      <c r="E54" s="183"/>
      <c r="F54" s="21"/>
      <c r="G54" s="185"/>
      <c r="H54" s="183"/>
      <c r="I54" s="21"/>
      <c r="J54" s="21"/>
      <c r="K54" s="202"/>
      <c r="L54" s="21"/>
      <c r="M54" s="21"/>
      <c r="N54" s="21"/>
      <c r="O54" s="36"/>
    </row>
    <row r="55" spans="1:15" s="28" customFormat="1" ht="14.25">
      <c r="A55" s="77" t="s">
        <v>127</v>
      </c>
      <c r="B55" s="7" t="s">
        <v>1</v>
      </c>
      <c r="C55" s="25" t="s">
        <v>12</v>
      </c>
      <c r="D55" s="23">
        <v>0.3</v>
      </c>
      <c r="E55" s="239"/>
      <c r="F55" s="20"/>
      <c r="G55" s="196"/>
      <c r="H55" s="196"/>
      <c r="I55" s="21"/>
      <c r="J55" s="20"/>
      <c r="K55" s="20"/>
      <c r="L55" s="20"/>
      <c r="M55" s="20"/>
      <c r="N55" s="20"/>
      <c r="O55" s="38"/>
    </row>
    <row r="56" spans="1:15" s="28" customFormat="1" ht="14.25">
      <c r="A56" s="75" t="s">
        <v>128</v>
      </c>
      <c r="B56" s="7" t="s">
        <v>2</v>
      </c>
      <c r="C56" s="25" t="s">
        <v>12</v>
      </c>
      <c r="D56" s="23">
        <v>0.2</v>
      </c>
      <c r="E56" s="239"/>
      <c r="F56" s="20"/>
      <c r="G56" s="196"/>
      <c r="H56" s="196"/>
      <c r="I56" s="21"/>
      <c r="J56" s="20"/>
      <c r="K56" s="20"/>
      <c r="L56" s="20"/>
      <c r="M56" s="20"/>
      <c r="N56" s="20"/>
      <c r="O56" s="38"/>
    </row>
    <row r="57" spans="1:15" s="240" customFormat="1" ht="12.75">
      <c r="A57" s="77" t="s">
        <v>129</v>
      </c>
      <c r="B57" s="246" t="s">
        <v>739</v>
      </c>
      <c r="C57" s="79" t="s">
        <v>16</v>
      </c>
      <c r="D57" s="75">
        <v>1</v>
      </c>
      <c r="E57" s="245"/>
      <c r="F57" s="21"/>
      <c r="G57" s="185"/>
      <c r="H57" s="185"/>
      <c r="I57" s="185"/>
      <c r="J57" s="193"/>
      <c r="K57" s="202"/>
      <c r="L57" s="21"/>
      <c r="M57" s="21"/>
      <c r="N57" s="21"/>
      <c r="O57" s="21"/>
    </row>
    <row r="58" spans="1:15" s="240" customFormat="1" ht="13.5" thickBot="1">
      <c r="A58" s="75" t="s">
        <v>130</v>
      </c>
      <c r="B58" s="241" t="s">
        <v>740</v>
      </c>
      <c r="C58" s="242" t="s">
        <v>16</v>
      </c>
      <c r="D58" s="243">
        <v>1</v>
      </c>
      <c r="E58" s="184"/>
      <c r="F58" s="20"/>
      <c r="G58" s="184"/>
      <c r="H58" s="184"/>
      <c r="I58" s="185"/>
      <c r="J58" s="20"/>
      <c r="K58" s="20"/>
      <c r="L58" s="20"/>
      <c r="M58" s="20"/>
      <c r="N58" s="20"/>
      <c r="O58" s="20"/>
    </row>
    <row r="59" spans="1:15" s="28" customFormat="1" ht="14.25" customHeight="1" thickBot="1">
      <c r="A59" s="312" t="s">
        <v>202</v>
      </c>
      <c r="B59" s="313"/>
      <c r="C59" s="313"/>
      <c r="D59" s="313"/>
      <c r="E59" s="86"/>
      <c r="F59" s="70"/>
      <c r="G59" s="16"/>
      <c r="H59" s="16"/>
      <c r="I59" s="70"/>
      <c r="J59" s="21"/>
      <c r="K59" s="21"/>
      <c r="L59" s="21"/>
      <c r="M59" s="21"/>
      <c r="N59" s="21"/>
      <c r="O59" s="36"/>
    </row>
    <row r="60" spans="1:15" s="28" customFormat="1" ht="38.25">
      <c r="A60" s="75" t="s">
        <v>131</v>
      </c>
      <c r="B60" s="81" t="s">
        <v>195</v>
      </c>
      <c r="C60" s="70" t="s">
        <v>16</v>
      </c>
      <c r="D60" s="104">
        <f>SUM(D61:D63)</f>
        <v>7</v>
      </c>
      <c r="E60" s="185"/>
      <c r="F60" s="21"/>
      <c r="G60" s="185"/>
      <c r="H60" s="185"/>
      <c r="I60" s="21"/>
      <c r="J60" s="21"/>
      <c r="K60" s="202"/>
      <c r="L60" s="21"/>
      <c r="M60" s="21"/>
      <c r="N60" s="21"/>
      <c r="O60" s="36"/>
    </row>
    <row r="61" spans="1:15" s="28" customFormat="1" ht="25.5">
      <c r="A61" s="75" t="s">
        <v>132</v>
      </c>
      <c r="B61" s="93" t="s">
        <v>175</v>
      </c>
      <c r="C61" s="25" t="s">
        <v>32</v>
      </c>
      <c r="D61" s="105">
        <v>2</v>
      </c>
      <c r="E61" s="184"/>
      <c r="F61" s="20"/>
      <c r="G61" s="184"/>
      <c r="H61" s="184"/>
      <c r="I61" s="21"/>
      <c r="J61" s="20"/>
      <c r="K61" s="20"/>
      <c r="L61" s="20"/>
      <c r="M61" s="20"/>
      <c r="N61" s="20"/>
      <c r="O61" s="20"/>
    </row>
    <row r="62" spans="1:15" s="28" customFormat="1" ht="25.5">
      <c r="A62" s="75" t="s">
        <v>133</v>
      </c>
      <c r="B62" s="93" t="s">
        <v>176</v>
      </c>
      <c r="C62" s="25" t="s">
        <v>32</v>
      </c>
      <c r="D62" s="105">
        <v>3</v>
      </c>
      <c r="E62" s="184"/>
      <c r="F62" s="20"/>
      <c r="G62" s="184"/>
      <c r="H62" s="184"/>
      <c r="I62" s="21"/>
      <c r="J62" s="20"/>
      <c r="K62" s="20"/>
      <c r="L62" s="20"/>
      <c r="M62" s="20"/>
      <c r="N62" s="20"/>
      <c r="O62" s="20"/>
    </row>
    <row r="63" spans="1:15" s="28" customFormat="1" ht="25.5">
      <c r="A63" s="75" t="s">
        <v>134</v>
      </c>
      <c r="B63" s="93" t="s">
        <v>178</v>
      </c>
      <c r="C63" s="25" t="s">
        <v>32</v>
      </c>
      <c r="D63" s="105">
        <v>2</v>
      </c>
      <c r="E63" s="184"/>
      <c r="F63" s="20"/>
      <c r="G63" s="184"/>
      <c r="H63" s="184"/>
      <c r="I63" s="21"/>
      <c r="J63" s="20"/>
      <c r="K63" s="20"/>
      <c r="L63" s="20"/>
      <c r="M63" s="20"/>
      <c r="N63" s="20"/>
      <c r="O63" s="20"/>
    </row>
    <row r="64" spans="1:15" s="28" customFormat="1" ht="63.75">
      <c r="A64" s="75" t="s">
        <v>135</v>
      </c>
      <c r="B64" s="81" t="s">
        <v>87</v>
      </c>
      <c r="C64" s="70" t="s">
        <v>16</v>
      </c>
      <c r="D64" s="104">
        <f>SUM(D65:D66)</f>
        <v>2</v>
      </c>
      <c r="E64" s="185"/>
      <c r="F64" s="21"/>
      <c r="G64" s="185"/>
      <c r="H64" s="185"/>
      <c r="I64" s="21"/>
      <c r="J64" s="21"/>
      <c r="K64" s="21"/>
      <c r="L64" s="21"/>
      <c r="M64" s="21"/>
      <c r="N64" s="21"/>
      <c r="O64" s="21"/>
    </row>
    <row r="65" spans="1:15" s="28" customFormat="1" ht="25.5">
      <c r="A65" s="75" t="s">
        <v>136</v>
      </c>
      <c r="B65" s="93" t="s">
        <v>171</v>
      </c>
      <c r="C65" s="25" t="s">
        <v>32</v>
      </c>
      <c r="D65" s="105">
        <v>1</v>
      </c>
      <c r="E65" s="185"/>
      <c r="F65" s="21"/>
      <c r="G65" s="185"/>
      <c r="H65" s="97"/>
      <c r="I65" s="21"/>
      <c r="J65" s="20"/>
      <c r="K65" s="20"/>
      <c r="L65" s="20"/>
      <c r="M65" s="20"/>
      <c r="N65" s="20"/>
      <c r="O65" s="20"/>
    </row>
    <row r="66" spans="1:15" s="28" customFormat="1" ht="25.5">
      <c r="A66" s="75" t="s">
        <v>137</v>
      </c>
      <c r="B66" s="93" t="s">
        <v>172</v>
      </c>
      <c r="C66" s="25" t="s">
        <v>32</v>
      </c>
      <c r="D66" s="105">
        <v>1</v>
      </c>
      <c r="E66" s="185"/>
      <c r="F66" s="21"/>
      <c r="G66" s="185"/>
      <c r="H66" s="97"/>
      <c r="I66" s="21"/>
      <c r="J66" s="20"/>
      <c r="K66" s="20"/>
      <c r="L66" s="20"/>
      <c r="M66" s="20"/>
      <c r="N66" s="20"/>
      <c r="O66" s="20"/>
    </row>
    <row r="67" spans="1:15" s="28" customFormat="1" ht="13.5" thickBot="1">
      <c r="A67" s="75" t="s">
        <v>138</v>
      </c>
      <c r="B67" s="93" t="s">
        <v>5</v>
      </c>
      <c r="C67" s="95" t="s">
        <v>16</v>
      </c>
      <c r="D67" s="105">
        <v>3</v>
      </c>
      <c r="E67" s="184"/>
      <c r="F67" s="20"/>
      <c r="G67" s="184"/>
      <c r="H67" s="97"/>
      <c r="I67" s="21"/>
      <c r="J67" s="20"/>
      <c r="K67" s="20"/>
      <c r="L67" s="20"/>
      <c r="M67" s="20"/>
      <c r="N67" s="20"/>
      <c r="O67" s="20"/>
    </row>
    <row r="68" spans="1:15" s="28" customFormat="1" ht="15.75" thickBot="1">
      <c r="A68" s="312" t="s">
        <v>149</v>
      </c>
      <c r="B68" s="313"/>
      <c r="C68" s="313"/>
      <c r="D68" s="313"/>
      <c r="E68" s="184"/>
      <c r="F68" s="20"/>
      <c r="G68" s="184"/>
      <c r="H68" s="97"/>
      <c r="I68" s="21"/>
      <c r="J68" s="20"/>
      <c r="K68" s="20"/>
      <c r="L68" s="20"/>
      <c r="M68" s="20"/>
      <c r="N68" s="20"/>
      <c r="O68" s="20"/>
    </row>
    <row r="69" spans="1:15" s="28" customFormat="1" ht="12.75">
      <c r="A69" s="77" t="s">
        <v>139</v>
      </c>
      <c r="B69" s="81" t="s">
        <v>203</v>
      </c>
      <c r="C69" s="70" t="s">
        <v>33</v>
      </c>
      <c r="D69" s="122">
        <f>D41</f>
        <v>176.1</v>
      </c>
      <c r="E69" s="185"/>
      <c r="F69" s="21"/>
      <c r="G69" s="185"/>
      <c r="H69" s="185"/>
      <c r="I69" s="21"/>
      <c r="J69" s="21"/>
      <c r="K69" s="202"/>
      <c r="L69" s="21"/>
      <c r="M69" s="21"/>
      <c r="N69" s="21"/>
      <c r="O69" s="36"/>
    </row>
    <row r="70" spans="1:15" s="28" customFormat="1" ht="26.25" thickBot="1">
      <c r="A70" s="77" t="s">
        <v>140</v>
      </c>
      <c r="B70" s="81" t="s">
        <v>182</v>
      </c>
      <c r="C70" s="70" t="s">
        <v>16</v>
      </c>
      <c r="D70" s="122">
        <v>1</v>
      </c>
      <c r="E70" s="87"/>
      <c r="F70" s="70"/>
      <c r="G70" s="16"/>
      <c r="H70" s="16"/>
      <c r="I70" s="21"/>
      <c r="J70" s="21"/>
      <c r="K70" s="202"/>
      <c r="L70" s="21"/>
      <c r="M70" s="21"/>
      <c r="N70" s="21"/>
      <c r="O70" s="36"/>
    </row>
    <row r="71" spans="1:15" s="28" customFormat="1" ht="15.75" thickBot="1">
      <c r="A71" s="312" t="s">
        <v>101</v>
      </c>
      <c r="B71" s="313"/>
      <c r="C71" s="313"/>
      <c r="D71" s="313"/>
      <c r="E71" s="184"/>
      <c r="F71" s="20"/>
      <c r="G71" s="184"/>
      <c r="H71" s="97"/>
      <c r="I71" s="21"/>
      <c r="J71" s="20"/>
      <c r="K71" s="20"/>
      <c r="L71" s="20"/>
      <c r="M71" s="20"/>
      <c r="N71" s="20"/>
      <c r="O71" s="20"/>
    </row>
    <row r="72" spans="1:15" s="6" customFormat="1" ht="18" customHeight="1">
      <c r="A72" s="77" t="s">
        <v>141</v>
      </c>
      <c r="B72" s="96" t="s">
        <v>81</v>
      </c>
      <c r="C72" s="75" t="s">
        <v>661</v>
      </c>
      <c r="D72" s="120">
        <v>1.43</v>
      </c>
      <c r="E72" s="185"/>
      <c r="F72" s="21"/>
      <c r="G72" s="185"/>
      <c r="H72" s="185"/>
      <c r="I72" s="21"/>
      <c r="J72" s="21"/>
      <c r="K72" s="202"/>
      <c r="L72" s="21"/>
      <c r="M72" s="21"/>
      <c r="N72" s="21"/>
      <c r="O72" s="21"/>
    </row>
    <row r="73" spans="1:15" s="6" customFormat="1" ht="14.25">
      <c r="A73" s="77" t="s">
        <v>142</v>
      </c>
      <c r="B73" s="85" t="s">
        <v>88</v>
      </c>
      <c r="C73" s="25" t="s">
        <v>12</v>
      </c>
      <c r="D73" s="104">
        <f>ROUND((D72*100*0.28),1)</f>
        <v>40</v>
      </c>
      <c r="E73" s="21"/>
      <c r="F73" s="21"/>
      <c r="G73" s="21"/>
      <c r="H73" s="184"/>
      <c r="I73" s="21"/>
      <c r="J73" s="20"/>
      <c r="K73" s="20"/>
      <c r="L73" s="20"/>
      <c r="M73" s="20"/>
      <c r="N73" s="20"/>
      <c r="O73" s="20"/>
    </row>
    <row r="74" spans="1:15" s="6" customFormat="1" ht="14.25">
      <c r="A74" s="77" t="s">
        <v>143</v>
      </c>
      <c r="B74" s="85" t="s">
        <v>89</v>
      </c>
      <c r="C74" s="25" t="s">
        <v>12</v>
      </c>
      <c r="D74" s="105">
        <f>ROUND((D72*100*0.3),1)</f>
        <v>42.9</v>
      </c>
      <c r="E74" s="21"/>
      <c r="F74" s="21"/>
      <c r="G74" s="21"/>
      <c r="H74" s="184"/>
      <c r="I74" s="21"/>
      <c r="J74" s="20"/>
      <c r="K74" s="20"/>
      <c r="L74" s="20"/>
      <c r="M74" s="20"/>
      <c r="N74" s="20"/>
      <c r="O74" s="20"/>
    </row>
    <row r="75" spans="1:15" s="6" customFormat="1" ht="14.25">
      <c r="A75" s="77" t="s">
        <v>144</v>
      </c>
      <c r="B75" s="81" t="s">
        <v>82</v>
      </c>
      <c r="C75" s="75" t="s">
        <v>661</v>
      </c>
      <c r="D75" s="105">
        <f>D21/100</f>
        <v>0.00624</v>
      </c>
      <c r="E75" s="185"/>
      <c r="F75" s="21"/>
      <c r="G75" s="185"/>
      <c r="H75" s="185"/>
      <c r="I75" s="185"/>
      <c r="J75" s="21"/>
      <c r="K75" s="202"/>
      <c r="L75" s="21"/>
      <c r="M75" s="21"/>
      <c r="N75" s="21"/>
      <c r="O75" s="21"/>
    </row>
    <row r="76" spans="1:15" s="6" customFormat="1" ht="14.25">
      <c r="A76" s="77" t="s">
        <v>145</v>
      </c>
      <c r="B76" s="85" t="s">
        <v>90</v>
      </c>
      <c r="C76" s="25" t="s">
        <v>12</v>
      </c>
      <c r="D76" s="121">
        <f>D75*0.15*100</f>
        <v>0.0936</v>
      </c>
      <c r="E76" s="201"/>
      <c r="F76" s="186"/>
      <c r="G76" s="186"/>
      <c r="H76" s="187"/>
      <c r="I76" s="21"/>
      <c r="J76" s="20"/>
      <c r="K76" s="20"/>
      <c r="L76" s="20"/>
      <c r="M76" s="20"/>
      <c r="N76" s="20"/>
      <c r="O76" s="20"/>
    </row>
    <row r="77" spans="1:15" s="6" customFormat="1" ht="28.5" customHeight="1">
      <c r="A77" s="77" t="s">
        <v>146</v>
      </c>
      <c r="B77" s="85" t="s">
        <v>13</v>
      </c>
      <c r="C77" s="25" t="s">
        <v>40</v>
      </c>
      <c r="D77" s="121">
        <f>ROUND((D75*0.03*100),1)</f>
        <v>0</v>
      </c>
      <c r="E77" s="201"/>
      <c r="F77" s="186"/>
      <c r="G77" s="186"/>
      <c r="H77" s="187"/>
      <c r="I77" s="21"/>
      <c r="J77" s="20"/>
      <c r="K77" s="20"/>
      <c r="L77" s="20"/>
      <c r="M77" s="20"/>
      <c r="N77" s="20"/>
      <c r="O77" s="20"/>
    </row>
    <row r="78" spans="1:15" s="6" customFormat="1" ht="14.25">
      <c r="A78" s="77" t="s">
        <v>147</v>
      </c>
      <c r="B78" s="81" t="s">
        <v>83</v>
      </c>
      <c r="C78" s="75" t="s">
        <v>79</v>
      </c>
      <c r="D78" s="121">
        <f>D22</f>
        <v>41</v>
      </c>
      <c r="E78" s="185"/>
      <c r="F78" s="21"/>
      <c r="G78" s="185"/>
      <c r="H78" s="183"/>
      <c r="I78" s="183"/>
      <c r="J78" s="21"/>
      <c r="K78" s="202"/>
      <c r="L78" s="21"/>
      <c r="M78" s="21"/>
      <c r="N78" s="21"/>
      <c r="O78" s="21"/>
    </row>
    <row r="79" spans="1:15" s="6" customFormat="1" ht="25.5">
      <c r="A79" s="77" t="s">
        <v>148</v>
      </c>
      <c r="B79" s="85" t="s">
        <v>158</v>
      </c>
      <c r="C79" s="70" t="s">
        <v>661</v>
      </c>
      <c r="D79" s="121">
        <f>ROUND((D78*0.04),1)</f>
        <v>1.6</v>
      </c>
      <c r="E79" s="196"/>
      <c r="F79" s="20"/>
      <c r="G79" s="20"/>
      <c r="H79" s="196"/>
      <c r="I79" s="21"/>
      <c r="J79" s="20"/>
      <c r="K79" s="20"/>
      <c r="L79" s="20"/>
      <c r="M79" s="20"/>
      <c r="N79" s="20"/>
      <c r="O79" s="20"/>
    </row>
    <row r="80" spans="1:15" s="6" customFormat="1" ht="25.5">
      <c r="A80" s="77" t="s">
        <v>721</v>
      </c>
      <c r="B80" s="85" t="s">
        <v>159</v>
      </c>
      <c r="C80" s="25" t="s">
        <v>12</v>
      </c>
      <c r="D80" s="121">
        <f>ROUND((D78*0.05),1)</f>
        <v>2.1</v>
      </c>
      <c r="E80" s="183"/>
      <c r="F80" s="21"/>
      <c r="G80" s="21"/>
      <c r="H80" s="196"/>
      <c r="I80" s="20"/>
      <c r="J80" s="20"/>
      <c r="K80" s="20"/>
      <c r="L80" s="20"/>
      <c r="M80" s="20"/>
      <c r="N80" s="20"/>
      <c r="O80" s="20"/>
    </row>
    <row r="81" spans="1:15" s="6" customFormat="1" ht="25.5">
      <c r="A81" s="77" t="s">
        <v>741</v>
      </c>
      <c r="B81" s="85" t="s">
        <v>96</v>
      </c>
      <c r="C81" s="70" t="s">
        <v>150</v>
      </c>
      <c r="D81" s="121">
        <f>D78*0.2</f>
        <v>8.200000000000001</v>
      </c>
      <c r="E81" s="196"/>
      <c r="F81" s="20"/>
      <c r="G81" s="20"/>
      <c r="H81" s="196"/>
      <c r="I81" s="196"/>
      <c r="J81" s="20"/>
      <c r="K81" s="20"/>
      <c r="L81" s="20"/>
      <c r="M81" s="20"/>
      <c r="N81" s="20"/>
      <c r="O81" s="20"/>
    </row>
    <row r="82" spans="1:15" s="6" customFormat="1" ht="25.5">
      <c r="A82" s="77" t="s">
        <v>742</v>
      </c>
      <c r="B82" s="85" t="s">
        <v>97</v>
      </c>
      <c r="C82" s="70" t="s">
        <v>150</v>
      </c>
      <c r="D82" s="105">
        <f>D78*0.3</f>
        <v>12.299999999999999</v>
      </c>
      <c r="E82" s="198"/>
      <c r="F82" s="20"/>
      <c r="G82" s="20"/>
      <c r="H82" s="198"/>
      <c r="I82" s="199"/>
      <c r="J82" s="200"/>
      <c r="K82" s="200"/>
      <c r="L82" s="200"/>
      <c r="M82" s="200"/>
      <c r="N82" s="200"/>
      <c r="O82" s="200"/>
    </row>
    <row r="83" spans="1:15" s="47" customFormat="1" ht="15.75" thickBot="1">
      <c r="A83" s="181"/>
      <c r="B83" s="169"/>
      <c r="C83" s="189"/>
      <c r="D83" s="189"/>
      <c r="E83" s="170"/>
      <c r="F83" s="190"/>
      <c r="G83" s="190"/>
      <c r="H83" s="170"/>
      <c r="I83" s="190"/>
      <c r="J83" s="190"/>
      <c r="K83" s="190"/>
      <c r="L83" s="190"/>
      <c r="M83" s="190"/>
      <c r="N83" s="190"/>
      <c r="O83" s="190"/>
    </row>
    <row r="84" spans="1:15" s="47" customFormat="1" ht="13.5" thickTop="1">
      <c r="A84" s="173"/>
      <c r="B84" s="96" t="s">
        <v>654</v>
      </c>
      <c r="C84" s="174"/>
      <c r="D84" s="175"/>
      <c r="E84" s="176"/>
      <c r="F84" s="176"/>
      <c r="G84" s="176"/>
      <c r="H84" s="176"/>
      <c r="I84" s="176"/>
      <c r="J84" s="177"/>
      <c r="K84" s="178">
        <f>SUM(K12:K83)</f>
        <v>0</v>
      </c>
      <c r="L84" s="178">
        <f>SUM(L12:L83)</f>
        <v>0</v>
      </c>
      <c r="M84" s="178">
        <f>SUM(M12:M83)</f>
        <v>0</v>
      </c>
      <c r="N84" s="178">
        <f>SUM(N12:N83)</f>
        <v>0</v>
      </c>
      <c r="O84" s="178">
        <f>SUM(O12:O83)</f>
        <v>0</v>
      </c>
    </row>
    <row r="85" spans="2:15" s="47" customFormat="1" ht="12.75">
      <c r="B85" s="171" t="s">
        <v>662</v>
      </c>
      <c r="C85" s="343"/>
      <c r="D85" s="172"/>
      <c r="E85" s="182"/>
      <c r="F85" s="182"/>
      <c r="G85" s="182"/>
      <c r="H85" s="182"/>
      <c r="I85" s="182"/>
      <c r="J85" s="182"/>
      <c r="K85" s="182"/>
      <c r="L85" s="182"/>
      <c r="M85" s="182">
        <f>ROUND(M84*C85,2)</f>
        <v>0</v>
      </c>
      <c r="N85" s="182"/>
      <c r="O85" s="182"/>
    </row>
    <row r="86" spans="1:15" s="47" customFormat="1" ht="12.75">
      <c r="A86" s="46" t="s">
        <v>34</v>
      </c>
      <c r="B86" s="188" t="s">
        <v>654</v>
      </c>
      <c r="C86" s="191"/>
      <c r="D86" s="172"/>
      <c r="E86" s="182"/>
      <c r="F86" s="182"/>
      <c r="G86" s="182"/>
      <c r="H86" s="182"/>
      <c r="I86" s="182"/>
      <c r="J86" s="182"/>
      <c r="K86" s="195">
        <f>SUM(K84:K85)</f>
        <v>0</v>
      </c>
      <c r="L86" s="195">
        <f>SUM(L84:L85)</f>
        <v>0</v>
      </c>
      <c r="M86" s="195">
        <f>SUM(M84:M85)</f>
        <v>0</v>
      </c>
      <c r="N86" s="195">
        <f>SUM(N84:N85)</f>
        <v>0</v>
      </c>
      <c r="O86" s="195">
        <f>SUM(O84,M85)</f>
        <v>0</v>
      </c>
    </row>
    <row r="87" spans="1:4" s="47" customFormat="1" ht="12.75">
      <c r="A87" s="48" t="s">
        <v>35</v>
      </c>
      <c r="B87" s="12"/>
      <c r="C87" s="63"/>
      <c r="D87" s="108"/>
    </row>
    <row r="88" spans="1:4" s="47" customFormat="1" ht="12.75">
      <c r="A88" s="48" t="s">
        <v>18</v>
      </c>
      <c r="B88" s="66"/>
      <c r="C88" s="66"/>
      <c r="D88" s="108"/>
    </row>
    <row r="89" spans="1:4" s="47" customFormat="1" ht="12.75">
      <c r="A89" s="48" t="s">
        <v>19</v>
      </c>
      <c r="B89" s="66"/>
      <c r="C89" s="66"/>
      <c r="D89" s="108"/>
    </row>
    <row r="90" spans="1:4" s="47" customFormat="1" ht="12.75">
      <c r="A90" s="48" t="s">
        <v>36</v>
      </c>
      <c r="B90" s="66"/>
      <c r="C90" s="66"/>
      <c r="D90" s="108"/>
    </row>
    <row r="91" spans="1:4" s="47" customFormat="1" ht="12.75">
      <c r="A91" s="48" t="s">
        <v>37</v>
      </c>
      <c r="B91" s="66"/>
      <c r="C91" s="66"/>
      <c r="D91" s="108"/>
    </row>
    <row r="92" spans="1:4" s="47" customFormat="1" ht="12.75">
      <c r="A92" s="48" t="s">
        <v>38</v>
      </c>
      <c r="B92" s="66"/>
      <c r="C92" s="66"/>
      <c r="D92" s="108"/>
    </row>
    <row r="93" spans="1:4" s="47" customFormat="1" ht="12.75">
      <c r="A93" s="48" t="s">
        <v>39</v>
      </c>
      <c r="B93" s="66"/>
      <c r="C93" s="66"/>
      <c r="D93" s="108"/>
    </row>
    <row r="94" spans="1:4" ht="12.75">
      <c r="A94" s="11" t="s">
        <v>20</v>
      </c>
      <c r="B94" s="67"/>
      <c r="C94" s="67"/>
      <c r="D94" s="109"/>
    </row>
    <row r="95" spans="2:3" ht="12.75">
      <c r="B95" s="67"/>
      <c r="C95" s="67"/>
    </row>
    <row r="96" spans="1:3" ht="12.75">
      <c r="A96" s="31" t="s">
        <v>7</v>
      </c>
      <c r="B96" s="180"/>
      <c r="C96" s="67"/>
    </row>
    <row r="97" ht="12.75">
      <c r="A97" s="31"/>
    </row>
    <row r="98" spans="1:2" ht="12.75">
      <c r="A98" s="31" t="s">
        <v>6</v>
      </c>
      <c r="B98" s="69"/>
    </row>
    <row r="99" spans="1:2" ht="12.75">
      <c r="A99" s="31"/>
      <c r="B99" s="31"/>
    </row>
    <row r="100" ht="12.75">
      <c r="B100" s="30"/>
    </row>
    <row r="101" ht="12.75">
      <c r="B101" s="30"/>
    </row>
  </sheetData>
  <sheetProtection/>
  <mergeCells count="26">
    <mergeCell ref="A3:D3"/>
    <mergeCell ref="A2:B2"/>
    <mergeCell ref="B5:D5"/>
    <mergeCell ref="B6:D6"/>
    <mergeCell ref="B7:D7"/>
    <mergeCell ref="K9:O9"/>
    <mergeCell ref="A14:D14"/>
    <mergeCell ref="A20:D20"/>
    <mergeCell ref="G8:I8"/>
    <mergeCell ref="J8:L8"/>
    <mergeCell ref="B8:D8"/>
    <mergeCell ref="A9:A10"/>
    <mergeCell ref="B9:B10"/>
    <mergeCell ref="C9:C10"/>
    <mergeCell ref="A71:D71"/>
    <mergeCell ref="A68:D68"/>
    <mergeCell ref="A13:D13"/>
    <mergeCell ref="A23:D23"/>
    <mergeCell ref="A28:D28"/>
    <mergeCell ref="A32:D32"/>
    <mergeCell ref="A34:D34"/>
    <mergeCell ref="A59:D59"/>
    <mergeCell ref="A40:D40"/>
    <mergeCell ref="A39:D39"/>
    <mergeCell ref="D9:D10"/>
    <mergeCell ref="E9:J9"/>
  </mergeCells>
  <printOptions horizontalCentered="1"/>
  <pageMargins left="0.3937007874015748" right="0.3937007874015748" top="0.7874015748031497" bottom="0.5905511811023623" header="0.31496062992125984" footer="0.3937007874015748"/>
  <pageSetup fitToHeight="0" fitToWidth="0" horizontalDpi="600" verticalDpi="600" orientation="landscape" paperSize="9" scale="78" r:id="rId1"/>
  <headerFooter alignWithMargins="0">
    <oddFooter>&amp;CLapaspuse &amp;P no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111"/>
  <sheetViews>
    <sheetView view="pageBreakPreview" zoomScaleSheetLayoutView="100" zoomScalePageLayoutView="0" workbookViewId="0" topLeftCell="A88">
      <pane xSplit="4" topLeftCell="E1" activePane="topRight" state="frozen"/>
      <selection pane="topLeft" activeCell="B71" sqref="B71"/>
      <selection pane="topRight" activeCell="G107" sqref="G107"/>
    </sheetView>
  </sheetViews>
  <sheetFormatPr defaultColWidth="9.140625" defaultRowHeight="12.75" outlineLevelRow="1"/>
  <cols>
    <col min="1" max="1" width="17.57421875" style="0" customWidth="1"/>
    <col min="2" max="2" width="43.8515625" style="0" customWidth="1"/>
    <col min="3" max="3" width="11.140625" style="0" customWidth="1"/>
    <col min="4" max="4" width="11.00390625" style="99" customWidth="1"/>
    <col min="5" max="5" width="7.7109375" style="0" customWidth="1"/>
    <col min="6" max="6" width="6.140625" style="0" customWidth="1"/>
    <col min="7" max="7" width="8.00390625" style="0" customWidth="1"/>
    <col min="8" max="8" width="8.421875" style="0" customWidth="1"/>
    <col min="9" max="9" width="7.00390625" style="0" customWidth="1"/>
    <col min="10" max="10" width="9.57421875" style="0" customWidth="1"/>
    <col min="11" max="11" width="7.8515625" style="0" customWidth="1"/>
    <col min="12" max="12" width="9.421875" style="0" bestFit="1" customWidth="1"/>
    <col min="13" max="13" width="10.8515625" style="0" customWidth="1"/>
    <col min="14" max="14" width="9.421875" style="0" bestFit="1" customWidth="1"/>
    <col min="15" max="15" width="10.421875" style="0" bestFit="1" customWidth="1"/>
    <col min="16" max="16" width="10.28125" style="0" bestFit="1" customWidth="1"/>
  </cols>
  <sheetData>
    <row r="1" spans="6:9" ht="12.75" outlineLevel="1">
      <c r="F1">
        <v>5.41</v>
      </c>
      <c r="I1" s="29">
        <v>0.08</v>
      </c>
    </row>
    <row r="2" spans="1:15" s="31" customFormat="1" ht="15.75" thickBot="1">
      <c r="A2" s="330" t="s">
        <v>694</v>
      </c>
      <c r="B2" s="33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31" customFormat="1" ht="14.25" customHeight="1" thickTop="1">
      <c r="A3" s="329" t="s">
        <v>215</v>
      </c>
      <c r="B3" s="329"/>
      <c r="C3" s="329"/>
      <c r="D3" s="32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31" customFormat="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31" customFormat="1" ht="25.5">
      <c r="A5" s="41" t="s">
        <v>21</v>
      </c>
      <c r="B5" s="331" t="s">
        <v>163</v>
      </c>
      <c r="C5" s="331"/>
      <c r="D5" s="331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31" customFormat="1" ht="12.75">
      <c r="A6" s="8" t="s">
        <v>22</v>
      </c>
      <c r="B6" s="320" t="str">
        <f>'LKT-1;Delfīniju '!B6:D6</f>
        <v>KDS "Ziedonis", Katlakalns, Ķekavas pagasts, Ķekavas novads</v>
      </c>
      <c r="C6" s="320"/>
      <c r="D6" s="320"/>
      <c r="E6" s="14"/>
      <c r="F6" s="14"/>
      <c r="G6" s="14"/>
      <c r="H6" s="14"/>
      <c r="I6" s="14"/>
      <c r="J6" s="14"/>
      <c r="K6" s="14"/>
      <c r="L6" s="8"/>
      <c r="M6" s="8"/>
      <c r="N6" s="8"/>
      <c r="O6" s="8"/>
    </row>
    <row r="7" spans="1:15" s="31" customFormat="1" ht="12.75">
      <c r="A7" s="8"/>
      <c r="B7" s="320"/>
      <c r="C7" s="320"/>
      <c r="D7" s="320"/>
      <c r="E7" s="50"/>
      <c r="F7" s="50"/>
      <c r="G7" s="8"/>
      <c r="H7" s="51"/>
      <c r="I7" s="8"/>
      <c r="J7" s="8"/>
      <c r="K7" s="8"/>
      <c r="L7" s="8"/>
      <c r="M7" s="8"/>
      <c r="N7" s="8"/>
      <c r="O7" s="8"/>
    </row>
    <row r="8" spans="1:15" s="31" customFormat="1" ht="12.75">
      <c r="A8" s="8"/>
      <c r="B8" s="320"/>
      <c r="C8" s="320"/>
      <c r="D8" s="320"/>
      <c r="E8" s="52"/>
      <c r="F8" s="53"/>
      <c r="H8" s="1"/>
      <c r="I8" s="17" t="s">
        <v>8</v>
      </c>
      <c r="J8" s="2">
        <f>O98</f>
        <v>0</v>
      </c>
      <c r="K8" s="204" t="s">
        <v>685</v>
      </c>
      <c r="L8" s="53"/>
      <c r="M8" s="53"/>
      <c r="N8" s="53"/>
      <c r="O8" s="53"/>
    </row>
    <row r="9" spans="1:15" s="31" customFormat="1" ht="13.5" thickBot="1">
      <c r="A9" s="54"/>
      <c r="C9" s="55"/>
      <c r="D9" s="55"/>
      <c r="E9" s="55"/>
      <c r="F9" s="53"/>
      <c r="G9" s="322" t="s">
        <v>663</v>
      </c>
      <c r="H9" s="322"/>
      <c r="I9" s="322"/>
      <c r="J9" s="323" t="s">
        <v>686</v>
      </c>
      <c r="K9" s="323"/>
      <c r="L9" s="323"/>
      <c r="M9" s="53"/>
      <c r="N9" s="53"/>
      <c r="O9" s="53"/>
    </row>
    <row r="10" spans="1:15" s="31" customFormat="1" ht="18.75" customHeight="1">
      <c r="A10" s="324" t="s">
        <v>24</v>
      </c>
      <c r="B10" s="318" t="s">
        <v>25</v>
      </c>
      <c r="C10" s="327" t="s">
        <v>26</v>
      </c>
      <c r="D10" s="327" t="s">
        <v>27</v>
      </c>
      <c r="E10" s="318" t="s">
        <v>28</v>
      </c>
      <c r="F10" s="318"/>
      <c r="G10" s="318"/>
      <c r="H10" s="318"/>
      <c r="I10" s="318"/>
      <c r="J10" s="318"/>
      <c r="K10" s="318" t="s">
        <v>29</v>
      </c>
      <c r="L10" s="318" t="s">
        <v>29</v>
      </c>
      <c r="M10" s="318"/>
      <c r="N10" s="318"/>
      <c r="O10" s="321"/>
    </row>
    <row r="11" spans="1:15" s="31" customFormat="1" ht="77.25" customHeight="1" thickBot="1">
      <c r="A11" s="325"/>
      <c r="B11" s="326"/>
      <c r="C11" s="328"/>
      <c r="D11" s="328"/>
      <c r="E11" s="32" t="s">
        <v>30</v>
      </c>
      <c r="F11" s="32" t="s">
        <v>678</v>
      </c>
      <c r="G11" s="32" t="s">
        <v>677</v>
      </c>
      <c r="H11" s="56" t="s">
        <v>679</v>
      </c>
      <c r="I11" s="32" t="s">
        <v>680</v>
      </c>
      <c r="J11" s="32" t="s">
        <v>681</v>
      </c>
      <c r="K11" s="32" t="s">
        <v>31</v>
      </c>
      <c r="L11" s="32" t="s">
        <v>682</v>
      </c>
      <c r="M11" s="32" t="s">
        <v>683</v>
      </c>
      <c r="N11" s="32" t="s">
        <v>680</v>
      </c>
      <c r="O11" s="57" t="s">
        <v>684</v>
      </c>
    </row>
    <row r="12" spans="1:15" s="3" customFormat="1" ht="15" customHeight="1" thickBot="1">
      <c r="A12" s="58">
        <v>1</v>
      </c>
      <c r="B12" s="59">
        <v>2</v>
      </c>
      <c r="C12" s="59">
        <v>3</v>
      </c>
      <c r="D12" s="59">
        <v>4</v>
      </c>
      <c r="E12" s="59">
        <v>5</v>
      </c>
      <c r="F12" s="59">
        <v>6</v>
      </c>
      <c r="G12" s="59">
        <v>7</v>
      </c>
      <c r="H12" s="59">
        <v>8</v>
      </c>
      <c r="I12" s="59">
        <v>9</v>
      </c>
      <c r="J12" s="59">
        <v>10</v>
      </c>
      <c r="K12" s="59">
        <v>11</v>
      </c>
      <c r="L12" s="59">
        <v>12</v>
      </c>
      <c r="M12" s="59">
        <v>13</v>
      </c>
      <c r="N12" s="59">
        <v>14</v>
      </c>
      <c r="O12" s="60">
        <v>15</v>
      </c>
    </row>
    <row r="13" spans="1:15" s="44" customFormat="1" ht="15" customHeight="1" thickBot="1">
      <c r="A13" s="71"/>
      <c r="B13" s="71"/>
      <c r="C13" s="71"/>
      <c r="D13" s="71"/>
      <c r="E13" s="72"/>
      <c r="F13" s="72"/>
      <c r="G13" s="72"/>
      <c r="H13" s="72"/>
      <c r="I13" s="72"/>
      <c r="J13" s="61"/>
      <c r="K13" s="61"/>
      <c r="L13" s="61"/>
      <c r="M13" s="61"/>
      <c r="N13" s="61"/>
      <c r="O13" s="61"/>
    </row>
    <row r="14" spans="1:15" s="45" customFormat="1" ht="15" customHeight="1" thickBot="1">
      <c r="A14" s="314" t="s">
        <v>107</v>
      </c>
      <c r="B14" s="315"/>
      <c r="C14" s="315"/>
      <c r="D14" s="315"/>
      <c r="E14" s="73"/>
      <c r="F14" s="72"/>
      <c r="G14" s="72"/>
      <c r="H14" s="72"/>
      <c r="I14" s="72"/>
      <c r="J14" s="61"/>
      <c r="K14" s="61"/>
      <c r="L14" s="61"/>
      <c r="M14" s="61"/>
      <c r="N14" s="61"/>
      <c r="O14" s="62"/>
    </row>
    <row r="15" spans="1:15" s="3" customFormat="1" ht="15" customHeight="1" thickBot="1">
      <c r="A15" s="312" t="s">
        <v>106</v>
      </c>
      <c r="B15" s="313"/>
      <c r="C15" s="313"/>
      <c r="D15" s="319"/>
      <c r="E15" s="74"/>
      <c r="F15" s="75"/>
      <c r="G15" s="15"/>
      <c r="H15" s="15"/>
      <c r="I15" s="15"/>
      <c r="J15" s="42"/>
      <c r="K15" s="42"/>
      <c r="L15" s="42"/>
      <c r="M15" s="42"/>
      <c r="N15" s="42"/>
      <c r="O15" s="43"/>
    </row>
    <row r="16" spans="1:15" s="27" customFormat="1" ht="12.75">
      <c r="A16" s="70" t="s">
        <v>216</v>
      </c>
      <c r="B16" s="76" t="s">
        <v>50</v>
      </c>
      <c r="C16" s="70" t="s">
        <v>32</v>
      </c>
      <c r="D16" s="70">
        <v>1</v>
      </c>
      <c r="E16" s="185"/>
      <c r="F16" s="21"/>
      <c r="G16" s="185"/>
      <c r="H16" s="193"/>
      <c r="I16" s="21"/>
      <c r="J16" s="21"/>
      <c r="K16" s="21"/>
      <c r="L16" s="21"/>
      <c r="M16" s="21"/>
      <c r="N16" s="21"/>
      <c r="O16" s="21"/>
    </row>
    <row r="17" spans="1:15" s="27" customFormat="1" ht="27" customHeight="1">
      <c r="A17" s="70" t="s">
        <v>217</v>
      </c>
      <c r="B17" s="78" t="s">
        <v>51</v>
      </c>
      <c r="C17" s="75" t="s">
        <v>47</v>
      </c>
      <c r="D17" s="70">
        <v>3</v>
      </c>
      <c r="E17" s="185"/>
      <c r="F17" s="21"/>
      <c r="G17" s="183"/>
      <c r="H17" s="195"/>
      <c r="I17" s="21"/>
      <c r="J17" s="21"/>
      <c r="K17" s="21"/>
      <c r="L17" s="21"/>
      <c r="M17" s="21"/>
      <c r="N17" s="21"/>
      <c r="O17" s="36"/>
    </row>
    <row r="18" spans="1:15" s="27" customFormat="1" ht="25.5">
      <c r="A18" s="70" t="s">
        <v>218</v>
      </c>
      <c r="B18" s="78" t="s">
        <v>152</v>
      </c>
      <c r="C18" s="75" t="s">
        <v>33</v>
      </c>
      <c r="D18" s="70">
        <v>1</v>
      </c>
      <c r="E18" s="185"/>
      <c r="F18" s="21"/>
      <c r="G18" s="183"/>
      <c r="H18" s="195"/>
      <c r="I18" s="21"/>
      <c r="J18" s="21"/>
      <c r="K18" s="21"/>
      <c r="L18" s="21"/>
      <c r="M18" s="21"/>
      <c r="N18" s="21"/>
      <c r="O18" s="36"/>
    </row>
    <row r="19" spans="1:15" s="27" customFormat="1" ht="25.5">
      <c r="A19" s="70" t="s">
        <v>219</v>
      </c>
      <c r="B19" s="78" t="s">
        <v>186</v>
      </c>
      <c r="C19" s="75" t="s">
        <v>16</v>
      </c>
      <c r="D19" s="70">
        <v>9</v>
      </c>
      <c r="E19" s="185"/>
      <c r="F19" s="21"/>
      <c r="G19" s="183"/>
      <c r="H19" s="183"/>
      <c r="I19" s="21"/>
      <c r="J19" s="21"/>
      <c r="K19" s="21"/>
      <c r="L19" s="21"/>
      <c r="M19" s="21"/>
      <c r="N19" s="21"/>
      <c r="O19" s="36"/>
    </row>
    <row r="20" spans="1:15" s="27" customFormat="1" ht="13.5" thickBot="1">
      <c r="A20" s="70" t="s">
        <v>220</v>
      </c>
      <c r="B20" s="78" t="s">
        <v>45</v>
      </c>
      <c r="C20" s="79" t="s">
        <v>46</v>
      </c>
      <c r="D20" s="70">
        <v>1</v>
      </c>
      <c r="E20" s="21"/>
      <c r="F20" s="21"/>
      <c r="G20" s="185"/>
      <c r="H20" s="193"/>
      <c r="I20" s="21"/>
      <c r="J20" s="21"/>
      <c r="K20" s="202"/>
      <c r="L20" s="21"/>
      <c r="M20" s="21"/>
      <c r="N20" s="21"/>
      <c r="O20" s="21"/>
    </row>
    <row r="21" spans="1:15" ht="14.25" customHeight="1" thickBot="1">
      <c r="A21" s="312" t="s">
        <v>105</v>
      </c>
      <c r="B21" s="313"/>
      <c r="C21" s="313"/>
      <c r="D21" s="319"/>
      <c r="E21" s="74"/>
      <c r="F21" s="75"/>
      <c r="G21" s="15"/>
      <c r="H21" s="15"/>
      <c r="I21" s="15"/>
      <c r="J21" s="42"/>
      <c r="K21" s="33"/>
      <c r="L21" s="33"/>
      <c r="M21" s="33"/>
      <c r="N21" s="33"/>
      <c r="O21" s="37"/>
    </row>
    <row r="22" spans="1:15" s="27" customFormat="1" ht="25.5">
      <c r="A22" s="77" t="s">
        <v>221</v>
      </c>
      <c r="B22" s="10" t="s">
        <v>155</v>
      </c>
      <c r="C22" s="79" t="s">
        <v>664</v>
      </c>
      <c r="D22" s="70">
        <f>51*1.2/100</f>
        <v>0.612</v>
      </c>
      <c r="E22" s="203"/>
      <c r="F22" s="21"/>
      <c r="G22" s="185"/>
      <c r="H22" s="183"/>
      <c r="I22" s="203"/>
      <c r="J22" s="21"/>
      <c r="K22" s="202"/>
      <c r="L22" s="21"/>
      <c r="M22" s="21"/>
      <c r="N22" s="21"/>
      <c r="O22" s="36"/>
    </row>
    <row r="23" spans="1:15" s="27" customFormat="1" ht="25.5">
      <c r="A23" s="77" t="s">
        <v>222</v>
      </c>
      <c r="B23" s="81" t="s">
        <v>161</v>
      </c>
      <c r="C23" s="79" t="s">
        <v>48</v>
      </c>
      <c r="D23" s="70">
        <f>3.5*1.2</f>
        <v>4.2</v>
      </c>
      <c r="E23" s="197"/>
      <c r="F23" s="21"/>
      <c r="G23" s="185"/>
      <c r="H23" s="183"/>
      <c r="I23" s="21"/>
      <c r="J23" s="21"/>
      <c r="K23" s="202"/>
      <c r="L23" s="21"/>
      <c r="M23" s="21"/>
      <c r="N23" s="21"/>
      <c r="O23" s="21"/>
    </row>
    <row r="24" spans="1:15" s="27" customFormat="1" ht="26.25" thickBot="1">
      <c r="A24" s="77" t="s">
        <v>223</v>
      </c>
      <c r="B24" s="80" t="s">
        <v>98</v>
      </c>
      <c r="C24" s="79" t="s">
        <v>48</v>
      </c>
      <c r="D24" s="70">
        <v>1.5</v>
      </c>
      <c r="E24" s="197"/>
      <c r="F24" s="21"/>
      <c r="G24" s="185"/>
      <c r="H24" s="183"/>
      <c r="I24" s="21"/>
      <c r="J24" s="21"/>
      <c r="K24" s="202"/>
      <c r="L24" s="21"/>
      <c r="M24" s="21"/>
      <c r="N24" s="21"/>
      <c r="O24" s="21"/>
    </row>
    <row r="25" spans="1:15" ht="62.25" customHeight="1" thickBot="1">
      <c r="A25" s="312" t="s">
        <v>104</v>
      </c>
      <c r="B25" s="313"/>
      <c r="C25" s="313"/>
      <c r="D25" s="319"/>
      <c r="E25" s="16"/>
      <c r="F25" s="70"/>
      <c r="G25" s="16"/>
      <c r="H25" s="16"/>
      <c r="I25" s="16"/>
      <c r="J25" s="21"/>
      <c r="K25" s="21"/>
      <c r="L25" s="33"/>
      <c r="M25" s="33"/>
      <c r="N25" s="33"/>
      <c r="O25" s="37"/>
    </row>
    <row r="26" spans="1:15" ht="12.75">
      <c r="A26" s="77" t="s">
        <v>224</v>
      </c>
      <c r="B26" s="82" t="s">
        <v>11</v>
      </c>
      <c r="C26" s="83" t="s">
        <v>41</v>
      </c>
      <c r="D26" s="125">
        <v>1</v>
      </c>
      <c r="E26" s="42"/>
      <c r="F26" s="192"/>
      <c r="G26" s="185"/>
      <c r="H26" s="194"/>
      <c r="I26" s="183"/>
      <c r="J26" s="42"/>
      <c r="K26" s="202"/>
      <c r="L26" s="21"/>
      <c r="M26" s="21"/>
      <c r="N26" s="21"/>
      <c r="O26" s="21"/>
    </row>
    <row r="27" spans="1:15" s="27" customFormat="1" ht="12.75">
      <c r="A27" s="77" t="s">
        <v>225</v>
      </c>
      <c r="B27" s="82" t="s">
        <v>66</v>
      </c>
      <c r="C27" s="83" t="s">
        <v>41</v>
      </c>
      <c r="D27" s="125">
        <v>7</v>
      </c>
      <c r="E27" s="42"/>
      <c r="F27" s="192"/>
      <c r="G27" s="185"/>
      <c r="H27" s="194"/>
      <c r="I27" s="183"/>
      <c r="J27" s="42"/>
      <c r="K27" s="202"/>
      <c r="L27" s="21"/>
      <c r="M27" s="21"/>
      <c r="N27" s="21"/>
      <c r="O27" s="21"/>
    </row>
    <row r="28" spans="1:15" s="27" customFormat="1" ht="12.75">
      <c r="A28" s="77" t="s">
        <v>226</v>
      </c>
      <c r="B28" s="82" t="s">
        <v>14</v>
      </c>
      <c r="C28" s="83" t="s">
        <v>41</v>
      </c>
      <c r="D28" s="125">
        <v>7</v>
      </c>
      <c r="E28" s="42"/>
      <c r="F28" s="192"/>
      <c r="G28" s="185"/>
      <c r="H28" s="194"/>
      <c r="I28" s="183"/>
      <c r="J28" s="42"/>
      <c r="K28" s="202"/>
      <c r="L28" s="21"/>
      <c r="M28" s="21"/>
      <c r="N28" s="21"/>
      <c r="O28" s="21"/>
    </row>
    <row r="29" spans="1:15" s="27" customFormat="1" ht="13.5" thickBot="1">
      <c r="A29" s="77" t="s">
        <v>227</v>
      </c>
      <c r="B29" s="85" t="s">
        <v>69</v>
      </c>
      <c r="C29" s="25" t="s">
        <v>16</v>
      </c>
      <c r="D29" s="125">
        <v>2</v>
      </c>
      <c r="E29" s="184"/>
      <c r="F29" s="20"/>
      <c r="G29" s="185"/>
      <c r="H29" s="184"/>
      <c r="I29" s="21"/>
      <c r="J29" s="20"/>
      <c r="K29" s="20"/>
      <c r="L29" s="20"/>
      <c r="M29" s="20"/>
      <c r="N29" s="20"/>
      <c r="O29" s="20"/>
    </row>
    <row r="30" spans="1:15" ht="48.75" customHeight="1" thickBot="1">
      <c r="A30" s="312" t="s">
        <v>160</v>
      </c>
      <c r="B30" s="313"/>
      <c r="C30" s="313"/>
      <c r="D30" s="319"/>
      <c r="E30" s="86"/>
      <c r="F30" s="70"/>
      <c r="G30" s="16"/>
      <c r="H30" s="16"/>
      <c r="I30" s="16"/>
      <c r="J30" s="21"/>
      <c r="K30" s="33"/>
      <c r="L30" s="33"/>
      <c r="M30" s="33"/>
      <c r="N30" s="33"/>
      <c r="O30" s="37"/>
    </row>
    <row r="31" spans="1:15" s="27" customFormat="1" ht="12.75">
      <c r="A31" s="77" t="s">
        <v>228</v>
      </c>
      <c r="B31" s="80" t="s">
        <v>280</v>
      </c>
      <c r="C31" s="70" t="s">
        <v>33</v>
      </c>
      <c r="D31" s="70">
        <v>19.1</v>
      </c>
      <c r="E31" s="185"/>
      <c r="F31" s="21"/>
      <c r="G31" s="21"/>
      <c r="H31" s="185"/>
      <c r="I31" s="21"/>
      <c r="J31" s="21"/>
      <c r="K31" s="21"/>
      <c r="L31" s="21"/>
      <c r="M31" s="21"/>
      <c r="N31" s="21"/>
      <c r="O31" s="36"/>
    </row>
    <row r="32" spans="1:15" s="27" customFormat="1" ht="12.75">
      <c r="A32" s="77" t="s">
        <v>229</v>
      </c>
      <c r="B32" s="80" t="s">
        <v>281</v>
      </c>
      <c r="C32" s="70" t="s">
        <v>33</v>
      </c>
      <c r="D32" s="70">
        <v>200</v>
      </c>
      <c r="E32" s="185"/>
      <c r="F32" s="21"/>
      <c r="G32" s="21"/>
      <c r="H32" s="183"/>
      <c r="I32" s="183"/>
      <c r="J32" s="21"/>
      <c r="K32" s="21"/>
      <c r="L32" s="21"/>
      <c r="M32" s="21"/>
      <c r="N32" s="21"/>
      <c r="O32" s="36"/>
    </row>
    <row r="33" spans="1:15" s="27" customFormat="1" ht="12.75">
      <c r="A33" s="77" t="s">
        <v>230</v>
      </c>
      <c r="B33" s="80" t="s">
        <v>199</v>
      </c>
      <c r="C33" s="70" t="s">
        <v>33</v>
      </c>
      <c r="D33" s="70">
        <v>70</v>
      </c>
      <c r="E33" s="185"/>
      <c r="F33" s="21"/>
      <c r="G33" s="21"/>
      <c r="H33" s="183"/>
      <c r="I33" s="183"/>
      <c r="J33" s="21"/>
      <c r="K33" s="21"/>
      <c r="L33" s="21"/>
      <c r="M33" s="21"/>
      <c r="N33" s="21"/>
      <c r="O33" s="36"/>
    </row>
    <row r="34" spans="1:15" s="27" customFormat="1" ht="26.25" thickBot="1">
      <c r="A34" s="77" t="s">
        <v>231</v>
      </c>
      <c r="B34" s="81" t="s">
        <v>112</v>
      </c>
      <c r="C34" s="70" t="s">
        <v>33</v>
      </c>
      <c r="D34" s="70">
        <v>15.3</v>
      </c>
      <c r="E34" s="185"/>
      <c r="F34" s="21"/>
      <c r="G34" s="21"/>
      <c r="H34" s="185"/>
      <c r="I34" s="21"/>
      <c r="J34" s="21"/>
      <c r="K34" s="21"/>
      <c r="L34" s="21"/>
      <c r="M34" s="21"/>
      <c r="N34" s="21"/>
      <c r="O34" s="36"/>
    </row>
    <row r="35" spans="1:15" ht="14.25" customHeight="1" thickBot="1">
      <c r="A35" s="312" t="s">
        <v>103</v>
      </c>
      <c r="B35" s="313"/>
      <c r="C35" s="313"/>
      <c r="D35" s="319"/>
      <c r="E35" s="87"/>
      <c r="F35" s="70"/>
      <c r="G35" s="16"/>
      <c r="H35" s="16"/>
      <c r="I35" s="16"/>
      <c r="J35" s="21"/>
      <c r="K35" s="21"/>
      <c r="L35" s="21"/>
      <c r="M35" s="21"/>
      <c r="N35" s="21"/>
      <c r="O35" s="36"/>
    </row>
    <row r="36" spans="1:15" ht="13.5" thickBot="1">
      <c r="A36" s="77" t="s">
        <v>232</v>
      </c>
      <c r="B36" s="81" t="s">
        <v>99</v>
      </c>
      <c r="C36" s="70" t="s">
        <v>100</v>
      </c>
      <c r="D36" s="70">
        <v>12</v>
      </c>
      <c r="E36" s="185"/>
      <c r="F36" s="21"/>
      <c r="G36" s="185"/>
      <c r="H36" s="185"/>
      <c r="I36" s="21"/>
      <c r="J36" s="21"/>
      <c r="K36" s="21"/>
      <c r="L36" s="21"/>
      <c r="M36" s="21"/>
      <c r="N36" s="21"/>
      <c r="O36" s="21"/>
    </row>
    <row r="37" spans="1:15" ht="14.25" customHeight="1" thickBot="1">
      <c r="A37" s="312" t="s">
        <v>102</v>
      </c>
      <c r="B37" s="313"/>
      <c r="C37" s="313"/>
      <c r="D37" s="319"/>
      <c r="E37" s="87"/>
      <c r="F37" s="70"/>
      <c r="G37" s="16"/>
      <c r="H37" s="16"/>
      <c r="I37" s="16"/>
      <c r="J37" s="21"/>
      <c r="K37" s="21"/>
      <c r="L37" s="21"/>
      <c r="M37" s="21"/>
      <c r="N37" s="21"/>
      <c r="O37" s="36"/>
    </row>
    <row r="38" spans="1:15" s="26" customFormat="1" ht="38.25">
      <c r="A38" s="77" t="s">
        <v>233</v>
      </c>
      <c r="B38" s="4" t="s">
        <v>187</v>
      </c>
      <c r="C38" s="79" t="s">
        <v>44</v>
      </c>
      <c r="D38" s="70">
        <f>D31*1.25*1.2+D32*1.75*1.2+D33*2.25*1.2+D34*1.75*1.2-D48-D56-D80-D81-D83-2</f>
        <v>391.63544999999993</v>
      </c>
      <c r="E38" s="183"/>
      <c r="F38" s="21"/>
      <c r="G38" s="185"/>
      <c r="H38" s="183"/>
      <c r="I38" s="21"/>
      <c r="J38" s="21"/>
      <c r="K38" s="202"/>
      <c r="L38" s="21"/>
      <c r="M38" s="21"/>
      <c r="N38" s="21"/>
      <c r="O38" s="21"/>
    </row>
    <row r="39" spans="1:15" s="26" customFormat="1" ht="38.25">
      <c r="A39" s="77" t="s">
        <v>234</v>
      </c>
      <c r="B39" s="85" t="s">
        <v>109</v>
      </c>
      <c r="C39" s="88" t="s">
        <v>44</v>
      </c>
      <c r="D39" s="25">
        <f>ROUND(D38*0.1,1)</f>
        <v>39.2</v>
      </c>
      <c r="E39" s="185"/>
      <c r="F39" s="21"/>
      <c r="G39" s="185"/>
      <c r="H39" s="185"/>
      <c r="I39" s="185"/>
      <c r="J39" s="21"/>
      <c r="K39" s="202"/>
      <c r="L39" s="21"/>
      <c r="M39" s="21"/>
      <c r="N39" s="21"/>
      <c r="O39" s="21"/>
    </row>
    <row r="40" spans="1:15" s="26" customFormat="1" ht="12.75">
      <c r="A40" s="77" t="s">
        <v>235</v>
      </c>
      <c r="B40" s="7" t="s">
        <v>188</v>
      </c>
      <c r="C40" s="88" t="s">
        <v>44</v>
      </c>
      <c r="D40" s="25">
        <f>D39</f>
        <v>39.2</v>
      </c>
      <c r="E40" s="184"/>
      <c r="F40" s="20"/>
      <c r="G40" s="184"/>
      <c r="H40" s="184"/>
      <c r="I40" s="21"/>
      <c r="J40" s="20"/>
      <c r="K40" s="20"/>
      <c r="L40" s="20"/>
      <c r="M40" s="20"/>
      <c r="N40" s="20"/>
      <c r="O40" s="20"/>
    </row>
    <row r="41" spans="1:15" s="28" customFormat="1" ht="26.25" thickBot="1">
      <c r="A41" s="77" t="s">
        <v>236</v>
      </c>
      <c r="B41" s="81" t="s">
        <v>110</v>
      </c>
      <c r="C41" s="79" t="s">
        <v>44</v>
      </c>
      <c r="D41" s="70">
        <f>D48+D56+D40+D80+D81+2</f>
        <v>308.16455</v>
      </c>
      <c r="E41" s="185"/>
      <c r="F41" s="21"/>
      <c r="G41" s="185"/>
      <c r="H41" s="185"/>
      <c r="I41" s="185"/>
      <c r="J41" s="21"/>
      <c r="K41" s="202"/>
      <c r="L41" s="21"/>
      <c r="M41" s="21"/>
      <c r="N41" s="21"/>
      <c r="O41" s="21"/>
    </row>
    <row r="42" spans="1:15" s="28" customFormat="1" ht="15.75" thickBot="1">
      <c r="A42" s="312" t="s">
        <v>113</v>
      </c>
      <c r="B42" s="313"/>
      <c r="C42" s="313"/>
      <c r="D42" s="313"/>
      <c r="E42" s="86"/>
      <c r="F42" s="70"/>
      <c r="G42" s="16"/>
      <c r="H42" s="16"/>
      <c r="I42" s="70"/>
      <c r="J42" s="21"/>
      <c r="K42" s="21"/>
      <c r="L42" s="21"/>
      <c r="M42" s="21"/>
      <c r="N42" s="21"/>
      <c r="O42" s="36"/>
    </row>
    <row r="43" spans="1:15" s="28" customFormat="1" ht="26.25" thickBot="1">
      <c r="A43" s="70" t="s">
        <v>237</v>
      </c>
      <c r="B43" s="81" t="s">
        <v>173</v>
      </c>
      <c r="C43" s="70" t="s">
        <v>33</v>
      </c>
      <c r="D43" s="70">
        <v>270</v>
      </c>
      <c r="E43" s="185"/>
      <c r="F43" s="21"/>
      <c r="G43" s="185"/>
      <c r="H43" s="185"/>
      <c r="I43" s="185"/>
      <c r="J43" s="21"/>
      <c r="K43" s="202"/>
      <c r="L43" s="21"/>
      <c r="M43" s="21"/>
      <c r="N43" s="21"/>
      <c r="O43" s="21"/>
    </row>
    <row r="44" spans="1:15" s="28" customFormat="1" ht="16.5" thickBot="1">
      <c r="A44" s="314" t="s">
        <v>166</v>
      </c>
      <c r="B44" s="315"/>
      <c r="C44" s="315"/>
      <c r="D44" s="315"/>
      <c r="E44" s="185"/>
      <c r="F44" s="21"/>
      <c r="G44" s="185"/>
      <c r="H44" s="185"/>
      <c r="I44" s="185"/>
      <c r="J44" s="21"/>
      <c r="K44" s="202"/>
      <c r="L44" s="21"/>
      <c r="M44" s="21"/>
      <c r="N44" s="21"/>
      <c r="O44" s="21"/>
    </row>
    <row r="45" spans="1:15" s="28" customFormat="1" ht="14.25" customHeight="1" thickBot="1">
      <c r="A45" s="312" t="s">
        <v>174</v>
      </c>
      <c r="B45" s="313"/>
      <c r="C45" s="313"/>
      <c r="D45" s="313"/>
      <c r="E45" s="86"/>
      <c r="F45" s="70"/>
      <c r="G45" s="16"/>
      <c r="H45" s="16"/>
      <c r="I45" s="70"/>
      <c r="J45" s="21"/>
      <c r="K45" s="21"/>
      <c r="L45" s="21"/>
      <c r="M45" s="21"/>
      <c r="N45" s="21"/>
      <c r="O45" s="36"/>
    </row>
    <row r="46" spans="1:15" s="28" customFormat="1" ht="12.75">
      <c r="A46" s="75" t="s">
        <v>238</v>
      </c>
      <c r="B46" s="78" t="s">
        <v>168</v>
      </c>
      <c r="C46" s="70" t="s">
        <v>33</v>
      </c>
      <c r="D46" s="70">
        <v>289.1</v>
      </c>
      <c r="E46" s="183"/>
      <c r="F46" s="21"/>
      <c r="G46" s="185"/>
      <c r="H46" s="195"/>
      <c r="I46" s="21"/>
      <c r="J46" s="21"/>
      <c r="K46" s="202"/>
      <c r="L46" s="21"/>
      <c r="M46" s="21"/>
      <c r="N46" s="21"/>
      <c r="O46" s="21"/>
    </row>
    <row r="47" spans="1:15" s="28" customFormat="1" ht="25.5">
      <c r="A47" s="75" t="s">
        <v>239</v>
      </c>
      <c r="B47" s="81" t="s">
        <v>687</v>
      </c>
      <c r="C47" s="70" t="s">
        <v>79</v>
      </c>
      <c r="D47" s="70">
        <f>D50*0.41+D51*0.65</f>
        <v>196.40200000000002</v>
      </c>
      <c r="E47" s="185"/>
      <c r="F47" s="21"/>
      <c r="G47" s="185"/>
      <c r="H47" s="185"/>
      <c r="I47" s="185"/>
      <c r="J47" s="21"/>
      <c r="K47" s="202"/>
      <c r="L47" s="21"/>
      <c r="M47" s="21"/>
      <c r="N47" s="21"/>
      <c r="O47" s="21"/>
    </row>
    <row r="48" spans="1:15" s="28" customFormat="1" ht="25.5">
      <c r="A48" s="75" t="s">
        <v>240</v>
      </c>
      <c r="B48" s="85" t="s">
        <v>688</v>
      </c>
      <c r="C48" s="25" t="s">
        <v>12</v>
      </c>
      <c r="D48" s="70">
        <f>D50*0.0615+D51*0.065</f>
        <v>20.064550000000004</v>
      </c>
      <c r="E48" s="184"/>
      <c r="F48" s="20"/>
      <c r="G48" s="184"/>
      <c r="H48" s="184"/>
      <c r="I48" s="21"/>
      <c r="J48" s="20"/>
      <c r="K48" s="20"/>
      <c r="L48" s="20"/>
      <c r="M48" s="20"/>
      <c r="N48" s="20"/>
      <c r="O48" s="20"/>
    </row>
    <row r="49" spans="1:15" s="28" customFormat="1" ht="12.75">
      <c r="A49" s="75" t="s">
        <v>241</v>
      </c>
      <c r="B49" s="89" t="s">
        <v>15</v>
      </c>
      <c r="C49" s="70" t="s">
        <v>33</v>
      </c>
      <c r="D49" s="70">
        <f>SUM(D50:D51)</f>
        <v>309.8</v>
      </c>
      <c r="E49" s="185"/>
      <c r="F49" s="21"/>
      <c r="G49" s="185"/>
      <c r="H49" s="185"/>
      <c r="I49" s="185"/>
      <c r="J49" s="21"/>
      <c r="K49" s="202"/>
      <c r="L49" s="21"/>
      <c r="M49" s="21"/>
      <c r="N49" s="21"/>
      <c r="O49" s="21"/>
    </row>
    <row r="50" spans="1:15" s="28" customFormat="1" ht="12.75">
      <c r="A50" s="75" t="s">
        <v>242</v>
      </c>
      <c r="B50" s="90" t="s">
        <v>170</v>
      </c>
      <c r="C50" s="25" t="s">
        <v>33</v>
      </c>
      <c r="D50" s="70">
        <v>20.7</v>
      </c>
      <c r="E50" s="184"/>
      <c r="F50" s="20"/>
      <c r="G50" s="184"/>
      <c r="H50" s="184"/>
      <c r="I50" s="21"/>
      <c r="J50" s="20"/>
      <c r="K50" s="20"/>
      <c r="L50" s="20"/>
      <c r="M50" s="20"/>
      <c r="N50" s="20"/>
      <c r="O50" s="20"/>
    </row>
    <row r="51" spans="1:15" s="28" customFormat="1" ht="12.75">
      <c r="A51" s="75" t="s">
        <v>243</v>
      </c>
      <c r="B51" s="90" t="s">
        <v>169</v>
      </c>
      <c r="C51" s="25" t="s">
        <v>33</v>
      </c>
      <c r="D51" s="70">
        <v>289.1</v>
      </c>
      <c r="E51" s="184"/>
      <c r="F51" s="20"/>
      <c r="G51" s="184"/>
      <c r="H51" s="184"/>
      <c r="I51" s="21"/>
      <c r="J51" s="20"/>
      <c r="K51" s="20"/>
      <c r="L51" s="20"/>
      <c r="M51" s="20"/>
      <c r="N51" s="20"/>
      <c r="O51" s="20"/>
    </row>
    <row r="52" spans="1:15" s="28" customFormat="1" ht="38.25">
      <c r="A52" s="75" t="s">
        <v>244</v>
      </c>
      <c r="B52" s="85" t="s">
        <v>691</v>
      </c>
      <c r="C52" s="88" t="s">
        <v>42</v>
      </c>
      <c r="D52" s="105">
        <f>D50</f>
        <v>20.7</v>
      </c>
      <c r="E52" s="184"/>
      <c r="F52" s="20"/>
      <c r="G52" s="184"/>
      <c r="H52" s="184"/>
      <c r="I52" s="21"/>
      <c r="J52" s="20"/>
      <c r="K52" s="20"/>
      <c r="L52" s="20"/>
      <c r="M52" s="20"/>
      <c r="N52" s="20"/>
      <c r="O52" s="20"/>
    </row>
    <row r="53" spans="1:15" s="28" customFormat="1" ht="38.25">
      <c r="A53" s="75" t="s">
        <v>245</v>
      </c>
      <c r="B53" s="4" t="s">
        <v>193</v>
      </c>
      <c r="C53" s="70" t="s">
        <v>16</v>
      </c>
      <c r="D53" s="118">
        <v>9</v>
      </c>
      <c r="E53" s="185"/>
      <c r="F53" s="21"/>
      <c r="G53" s="185"/>
      <c r="H53" s="183"/>
      <c r="I53" s="21"/>
      <c r="J53" s="21"/>
      <c r="K53" s="202"/>
      <c r="L53" s="21"/>
      <c r="M53" s="21"/>
      <c r="N53" s="21"/>
      <c r="O53" s="21"/>
    </row>
    <row r="54" spans="1:15" s="28" customFormat="1" ht="51">
      <c r="A54" s="75" t="s">
        <v>246</v>
      </c>
      <c r="B54" s="7" t="s">
        <v>213</v>
      </c>
      <c r="C54" s="9" t="s">
        <v>32</v>
      </c>
      <c r="D54" s="110">
        <f>D53</f>
        <v>9</v>
      </c>
      <c r="E54" s="184"/>
      <c r="F54" s="20"/>
      <c r="G54" s="184"/>
      <c r="H54" s="184"/>
      <c r="I54" s="21"/>
      <c r="J54" s="20"/>
      <c r="K54" s="20"/>
      <c r="L54" s="20"/>
      <c r="M54" s="20"/>
      <c r="N54" s="20"/>
      <c r="O54" s="20"/>
    </row>
    <row r="55" spans="1:15" s="28" customFormat="1" ht="25.5">
      <c r="A55" s="75" t="s">
        <v>247</v>
      </c>
      <c r="B55" s="81" t="s">
        <v>690</v>
      </c>
      <c r="C55" s="70" t="s">
        <v>79</v>
      </c>
      <c r="D55" s="70">
        <f>D47</f>
        <v>196.40200000000002</v>
      </c>
      <c r="E55" s="185"/>
      <c r="F55" s="21"/>
      <c r="G55" s="185"/>
      <c r="H55" s="185"/>
      <c r="I55" s="185"/>
      <c r="J55" s="21"/>
      <c r="K55" s="202"/>
      <c r="L55" s="21"/>
      <c r="M55" s="21"/>
      <c r="N55" s="21"/>
      <c r="O55" s="21"/>
    </row>
    <row r="56" spans="1:15" s="28" customFormat="1" ht="25.5">
      <c r="A56" s="75" t="s">
        <v>248</v>
      </c>
      <c r="B56" s="85" t="s">
        <v>689</v>
      </c>
      <c r="C56" s="88" t="s">
        <v>12</v>
      </c>
      <c r="D56" s="105">
        <f>ROUND((D50*0.12+D51*0.2434),1)</f>
        <v>72.9</v>
      </c>
      <c r="E56" s="196"/>
      <c r="F56" s="20"/>
      <c r="G56" s="196"/>
      <c r="H56" s="196"/>
      <c r="I56" s="196"/>
      <c r="J56" s="20"/>
      <c r="K56" s="20"/>
      <c r="L56" s="20"/>
      <c r="M56" s="20"/>
      <c r="N56" s="20"/>
      <c r="O56" s="38"/>
    </row>
    <row r="57" spans="1:15" s="28" customFormat="1" ht="12.75">
      <c r="A57" s="75" t="s">
        <v>249</v>
      </c>
      <c r="B57" s="89" t="s">
        <v>86</v>
      </c>
      <c r="C57" s="70" t="s">
        <v>33</v>
      </c>
      <c r="D57" s="70">
        <f>D46</f>
        <v>289.1</v>
      </c>
      <c r="E57" s="183"/>
      <c r="F57" s="21"/>
      <c r="G57" s="185"/>
      <c r="H57" s="183"/>
      <c r="I57" s="21"/>
      <c r="J57" s="21"/>
      <c r="K57" s="202"/>
      <c r="L57" s="21"/>
      <c r="M57" s="21"/>
      <c r="N57" s="21"/>
      <c r="O57" s="36"/>
    </row>
    <row r="58" spans="1:15" s="28" customFormat="1" ht="12.75">
      <c r="A58" s="75" t="s">
        <v>250</v>
      </c>
      <c r="B58" s="90" t="s">
        <v>17</v>
      </c>
      <c r="C58" s="25" t="s">
        <v>33</v>
      </c>
      <c r="D58" s="70">
        <f>D57</f>
        <v>289.1</v>
      </c>
      <c r="E58" s="196"/>
      <c r="F58" s="20"/>
      <c r="G58" s="196"/>
      <c r="H58" s="196"/>
      <c r="I58" s="21"/>
      <c r="J58" s="20"/>
      <c r="K58" s="20"/>
      <c r="L58" s="20"/>
      <c r="M58" s="20"/>
      <c r="N58" s="20"/>
      <c r="O58" s="38"/>
    </row>
    <row r="59" spans="1:15" s="28" customFormat="1" ht="39.75">
      <c r="A59" s="75" t="s">
        <v>251</v>
      </c>
      <c r="B59" s="81" t="s">
        <v>0</v>
      </c>
      <c r="C59" s="25" t="s">
        <v>41</v>
      </c>
      <c r="D59" s="70">
        <v>1</v>
      </c>
      <c r="E59" s="183"/>
      <c r="F59" s="21"/>
      <c r="G59" s="185"/>
      <c r="H59" s="183"/>
      <c r="I59" s="21"/>
      <c r="J59" s="21"/>
      <c r="K59" s="202"/>
      <c r="L59" s="21"/>
      <c r="M59" s="21"/>
      <c r="N59" s="21"/>
      <c r="O59" s="36"/>
    </row>
    <row r="60" spans="1:15" s="28" customFormat="1" ht="14.25">
      <c r="A60" s="75" t="s">
        <v>252</v>
      </c>
      <c r="B60" s="7" t="s">
        <v>1</v>
      </c>
      <c r="C60" s="25" t="s">
        <v>12</v>
      </c>
      <c r="D60" s="23">
        <v>0.3</v>
      </c>
      <c r="E60" s="196"/>
      <c r="F60" s="20"/>
      <c r="G60" s="196"/>
      <c r="H60" s="196"/>
      <c r="I60" s="21"/>
      <c r="J60" s="20"/>
      <c r="K60" s="20"/>
      <c r="L60" s="20"/>
      <c r="M60" s="20"/>
      <c r="N60" s="20"/>
      <c r="O60" s="38"/>
    </row>
    <row r="61" spans="1:15" s="28" customFormat="1" ht="14.25">
      <c r="A61" s="75" t="s">
        <v>253</v>
      </c>
      <c r="B61" s="7" t="s">
        <v>2</v>
      </c>
      <c r="C61" s="25" t="s">
        <v>12</v>
      </c>
      <c r="D61" s="23">
        <v>0.2</v>
      </c>
      <c r="E61" s="196"/>
      <c r="F61" s="20"/>
      <c r="G61" s="196"/>
      <c r="H61" s="196"/>
      <c r="I61" s="21"/>
      <c r="J61" s="20"/>
      <c r="K61" s="20"/>
      <c r="L61" s="20"/>
      <c r="M61" s="20"/>
      <c r="N61" s="20"/>
      <c r="O61" s="38"/>
    </row>
    <row r="62" spans="1:15" s="240" customFormat="1" ht="12.75">
      <c r="A62" s="75" t="s">
        <v>254</v>
      </c>
      <c r="B62" s="78" t="s">
        <v>739</v>
      </c>
      <c r="C62" s="79" t="s">
        <v>16</v>
      </c>
      <c r="D62" s="70">
        <v>1</v>
      </c>
      <c r="E62" s="245"/>
      <c r="F62" s="21"/>
      <c r="G62" s="185"/>
      <c r="H62" s="185"/>
      <c r="I62" s="185"/>
      <c r="J62" s="193"/>
      <c r="K62" s="202"/>
      <c r="L62" s="21"/>
      <c r="M62" s="21"/>
      <c r="N62" s="21"/>
      <c r="O62" s="21"/>
    </row>
    <row r="63" spans="1:15" s="240" customFormat="1" ht="13.5" thickBot="1">
      <c r="A63" s="75" t="s">
        <v>255</v>
      </c>
      <c r="B63" s="241" t="s">
        <v>740</v>
      </c>
      <c r="C63" s="242" t="s">
        <v>16</v>
      </c>
      <c r="D63" s="243">
        <v>1</v>
      </c>
      <c r="E63" s="184"/>
      <c r="F63" s="20"/>
      <c r="G63" s="184"/>
      <c r="H63" s="184"/>
      <c r="I63" s="185"/>
      <c r="J63" s="20"/>
      <c r="K63" s="20"/>
      <c r="L63" s="20"/>
      <c r="M63" s="20"/>
      <c r="N63" s="20"/>
      <c r="O63" s="20"/>
    </row>
    <row r="64" spans="1:15" s="28" customFormat="1" ht="14.25" customHeight="1" thickBot="1">
      <c r="A64" s="312" t="s">
        <v>202</v>
      </c>
      <c r="B64" s="313"/>
      <c r="C64" s="313"/>
      <c r="D64" s="313"/>
      <c r="E64" s="86"/>
      <c r="F64" s="70"/>
      <c r="G64" s="16"/>
      <c r="H64" s="16"/>
      <c r="I64" s="70"/>
      <c r="J64" s="21"/>
      <c r="K64" s="21"/>
      <c r="L64" s="21"/>
      <c r="M64" s="21"/>
      <c r="N64" s="21"/>
      <c r="O64" s="36"/>
    </row>
    <row r="65" spans="1:15" s="28" customFormat="1" ht="38.25">
      <c r="A65" s="75" t="s">
        <v>256</v>
      </c>
      <c r="B65" s="81" t="s">
        <v>194</v>
      </c>
      <c r="C65" s="70" t="s">
        <v>16</v>
      </c>
      <c r="D65" s="70">
        <f>SUM(D66:D68)</f>
        <v>10</v>
      </c>
      <c r="E65" s="185"/>
      <c r="F65" s="21"/>
      <c r="G65" s="185"/>
      <c r="H65" s="185"/>
      <c r="I65" s="21"/>
      <c r="J65" s="21"/>
      <c r="K65" s="202"/>
      <c r="L65" s="21"/>
      <c r="M65" s="21"/>
      <c r="N65" s="21"/>
      <c r="O65" s="36"/>
    </row>
    <row r="66" spans="1:15" s="28" customFormat="1" ht="25.5">
      <c r="A66" s="75" t="s">
        <v>257</v>
      </c>
      <c r="B66" s="93" t="s">
        <v>175</v>
      </c>
      <c r="C66" s="25" t="s">
        <v>32</v>
      </c>
      <c r="D66" s="25">
        <v>1</v>
      </c>
      <c r="E66" s="184"/>
      <c r="F66" s="20"/>
      <c r="G66" s="184"/>
      <c r="H66" s="184"/>
      <c r="I66" s="21"/>
      <c r="J66" s="20"/>
      <c r="K66" s="20"/>
      <c r="L66" s="20"/>
      <c r="M66" s="20"/>
      <c r="N66" s="20"/>
      <c r="O66" s="20"/>
    </row>
    <row r="67" spans="1:15" s="28" customFormat="1" ht="25.5">
      <c r="A67" s="75" t="s">
        <v>258</v>
      </c>
      <c r="B67" s="93" t="s">
        <v>177</v>
      </c>
      <c r="C67" s="25" t="s">
        <v>32</v>
      </c>
      <c r="D67" s="25">
        <v>8</v>
      </c>
      <c r="E67" s="184"/>
      <c r="F67" s="20"/>
      <c r="G67" s="184"/>
      <c r="H67" s="97"/>
      <c r="I67" s="21"/>
      <c r="J67" s="20"/>
      <c r="K67" s="20"/>
      <c r="L67" s="20"/>
      <c r="M67" s="20"/>
      <c r="N67" s="20"/>
      <c r="O67" s="20"/>
    </row>
    <row r="68" spans="1:15" s="28" customFormat="1" ht="25.5">
      <c r="A68" s="75" t="s">
        <v>259</v>
      </c>
      <c r="B68" s="93" t="s">
        <v>179</v>
      </c>
      <c r="C68" s="25" t="s">
        <v>32</v>
      </c>
      <c r="D68" s="25">
        <v>1</v>
      </c>
      <c r="E68" s="184"/>
      <c r="F68" s="20"/>
      <c r="G68" s="184"/>
      <c r="H68" s="97"/>
      <c r="I68" s="21"/>
      <c r="J68" s="20"/>
      <c r="K68" s="20"/>
      <c r="L68" s="20"/>
      <c r="M68" s="20"/>
      <c r="N68" s="20"/>
      <c r="O68" s="20"/>
    </row>
    <row r="69" spans="1:15" s="28" customFormat="1" ht="63.75">
      <c r="A69" s="75" t="s">
        <v>260</v>
      </c>
      <c r="B69" s="81" t="s">
        <v>184</v>
      </c>
      <c r="C69" s="70" t="s">
        <v>16</v>
      </c>
      <c r="D69" s="70">
        <f>SUM(D70:D71)</f>
        <v>2</v>
      </c>
      <c r="E69" s="185"/>
      <c r="F69" s="21"/>
      <c r="G69" s="185"/>
      <c r="H69" s="185"/>
      <c r="I69" s="21"/>
      <c r="J69" s="21"/>
      <c r="K69" s="21"/>
      <c r="L69" s="21"/>
      <c r="M69" s="21"/>
      <c r="N69" s="21"/>
      <c r="O69" s="21"/>
    </row>
    <row r="70" spans="1:15" s="28" customFormat="1" ht="25.5">
      <c r="A70" s="75" t="s">
        <v>261</v>
      </c>
      <c r="B70" s="93" t="s">
        <v>10</v>
      </c>
      <c r="C70" s="25" t="s">
        <v>32</v>
      </c>
      <c r="D70" s="25">
        <v>1</v>
      </c>
      <c r="E70" s="185"/>
      <c r="F70" s="21"/>
      <c r="G70" s="185"/>
      <c r="H70" s="97"/>
      <c r="I70" s="21"/>
      <c r="J70" s="21"/>
      <c r="K70" s="21"/>
      <c r="L70" s="21"/>
      <c r="M70" s="21"/>
      <c r="N70" s="21"/>
      <c r="O70" s="21"/>
    </row>
    <row r="71" spans="1:15" s="28" customFormat="1" ht="25.5">
      <c r="A71" s="75" t="s">
        <v>262</v>
      </c>
      <c r="B71" s="93" t="s">
        <v>180</v>
      </c>
      <c r="C71" s="25" t="s">
        <v>32</v>
      </c>
      <c r="D71" s="25">
        <v>1</v>
      </c>
      <c r="E71" s="185"/>
      <c r="F71" s="21"/>
      <c r="G71" s="185"/>
      <c r="H71" s="97"/>
      <c r="I71" s="21"/>
      <c r="J71" s="20"/>
      <c r="K71" s="20"/>
      <c r="L71" s="20"/>
      <c r="M71" s="20"/>
      <c r="N71" s="20"/>
      <c r="O71" s="20"/>
    </row>
    <row r="72" spans="1:15" s="28" customFormat="1" ht="13.5" thickBot="1">
      <c r="A72" s="75" t="s">
        <v>263</v>
      </c>
      <c r="B72" s="94" t="s">
        <v>5</v>
      </c>
      <c r="C72" s="95" t="s">
        <v>16</v>
      </c>
      <c r="D72" s="25">
        <v>3</v>
      </c>
      <c r="E72" s="184"/>
      <c r="F72" s="20"/>
      <c r="G72" s="184"/>
      <c r="H72" s="97"/>
      <c r="I72" s="21"/>
      <c r="J72" s="20"/>
      <c r="K72" s="20"/>
      <c r="L72" s="20"/>
      <c r="M72" s="20"/>
      <c r="N72" s="20"/>
      <c r="O72" s="20"/>
    </row>
    <row r="73" spans="1:15" s="28" customFormat="1" ht="15.75" thickBot="1">
      <c r="A73" s="312" t="s">
        <v>181</v>
      </c>
      <c r="B73" s="313"/>
      <c r="C73" s="313"/>
      <c r="D73" s="313"/>
      <c r="E73" s="86"/>
      <c r="F73" s="70"/>
      <c r="G73" s="16"/>
      <c r="H73" s="16"/>
      <c r="I73" s="70"/>
      <c r="J73" s="21"/>
      <c r="K73" s="21"/>
      <c r="L73" s="21"/>
      <c r="M73" s="21"/>
      <c r="N73" s="21"/>
      <c r="O73" s="36"/>
    </row>
    <row r="74" spans="1:15" s="28" customFormat="1" ht="51.75" thickBot="1">
      <c r="A74" s="77" t="s">
        <v>264</v>
      </c>
      <c r="B74" s="81" t="s">
        <v>674</v>
      </c>
      <c r="C74" s="70" t="s">
        <v>32</v>
      </c>
      <c r="D74" s="70">
        <v>1</v>
      </c>
      <c r="E74" s="185"/>
      <c r="F74" s="21"/>
      <c r="G74" s="185"/>
      <c r="H74" s="185"/>
      <c r="I74" s="21"/>
      <c r="J74" s="21"/>
      <c r="K74" s="202"/>
      <c r="L74" s="21"/>
      <c r="M74" s="21"/>
      <c r="N74" s="21"/>
      <c r="O74" s="36"/>
    </row>
    <row r="75" spans="1:15" s="28" customFormat="1" ht="15.75" thickBot="1">
      <c r="A75" s="312" t="s">
        <v>149</v>
      </c>
      <c r="B75" s="313"/>
      <c r="C75" s="313"/>
      <c r="D75" s="313"/>
      <c r="E75" s="86"/>
      <c r="F75" s="70"/>
      <c r="G75" s="16"/>
      <c r="H75" s="16"/>
      <c r="I75" s="70"/>
      <c r="J75" s="21"/>
      <c r="K75" s="21"/>
      <c r="L75" s="21"/>
      <c r="M75" s="21"/>
      <c r="N75" s="21"/>
      <c r="O75" s="36"/>
    </row>
    <row r="76" spans="1:15" s="28" customFormat="1" ht="12.75">
      <c r="A76" s="77" t="s">
        <v>265</v>
      </c>
      <c r="B76" s="81" t="s">
        <v>203</v>
      </c>
      <c r="C76" s="70" t="s">
        <v>33</v>
      </c>
      <c r="D76" s="124">
        <f>D46</f>
        <v>289.1</v>
      </c>
      <c r="E76" s="185"/>
      <c r="F76" s="21"/>
      <c r="G76" s="185"/>
      <c r="H76" s="185"/>
      <c r="I76" s="21"/>
      <c r="J76" s="21"/>
      <c r="K76" s="202"/>
      <c r="L76" s="21"/>
      <c r="M76" s="21"/>
      <c r="N76" s="21"/>
      <c r="O76" s="36"/>
    </row>
    <row r="77" spans="1:15" s="28" customFormat="1" ht="26.25" thickBot="1">
      <c r="A77" s="77" t="s">
        <v>266</v>
      </c>
      <c r="B77" s="81" t="s">
        <v>182</v>
      </c>
      <c r="C77" s="70" t="s">
        <v>16</v>
      </c>
      <c r="D77" s="124">
        <v>1</v>
      </c>
      <c r="E77" s="87"/>
      <c r="F77" s="70"/>
      <c r="G77" s="16"/>
      <c r="H77" s="16"/>
      <c r="I77" s="21"/>
      <c r="J77" s="21"/>
      <c r="K77" s="202"/>
      <c r="L77" s="21"/>
      <c r="M77" s="21"/>
      <c r="N77" s="21"/>
      <c r="O77" s="36"/>
    </row>
    <row r="78" spans="1:15" ht="14.25" customHeight="1" thickBot="1">
      <c r="A78" s="332" t="s">
        <v>101</v>
      </c>
      <c r="B78" s="333"/>
      <c r="C78" s="333"/>
      <c r="D78" s="100"/>
      <c r="E78" s="87"/>
      <c r="F78" s="70"/>
      <c r="G78" s="16"/>
      <c r="H78" s="16"/>
      <c r="I78" s="16"/>
      <c r="J78" s="21"/>
      <c r="K78" s="33"/>
      <c r="L78" s="33"/>
      <c r="M78" s="33"/>
      <c r="N78" s="33"/>
      <c r="O78" s="37"/>
    </row>
    <row r="79" spans="1:15" s="6" customFormat="1" ht="18" customHeight="1">
      <c r="A79" s="77" t="s">
        <v>267</v>
      </c>
      <c r="B79" s="96" t="s">
        <v>81</v>
      </c>
      <c r="C79" s="75" t="s">
        <v>661</v>
      </c>
      <c r="D79" s="123">
        <f>ROUND((254*1.2-7*1.2*0.6)/100,0)</f>
        <v>3</v>
      </c>
      <c r="E79" s="185"/>
      <c r="F79" s="21"/>
      <c r="G79" s="185"/>
      <c r="H79" s="185"/>
      <c r="I79" s="21"/>
      <c r="J79" s="21"/>
      <c r="K79" s="202"/>
      <c r="L79" s="21"/>
      <c r="M79" s="21"/>
      <c r="N79" s="21"/>
      <c r="O79" s="21"/>
    </row>
    <row r="80" spans="1:15" s="6" customFormat="1" ht="14.25">
      <c r="A80" s="77" t="s">
        <v>268</v>
      </c>
      <c r="B80" s="85" t="s">
        <v>88</v>
      </c>
      <c r="C80" s="25" t="s">
        <v>12</v>
      </c>
      <c r="D80" s="70">
        <f>ROUND((100*D79*0.28),1)</f>
        <v>84</v>
      </c>
      <c r="E80" s="21"/>
      <c r="F80" s="21"/>
      <c r="G80" s="21"/>
      <c r="H80" s="184"/>
      <c r="I80" s="21"/>
      <c r="J80" s="20"/>
      <c r="K80" s="20"/>
      <c r="L80" s="20"/>
      <c r="M80" s="20"/>
      <c r="N80" s="20"/>
      <c r="O80" s="20"/>
    </row>
    <row r="81" spans="1:15" s="6" customFormat="1" ht="25.5">
      <c r="A81" s="77" t="s">
        <v>269</v>
      </c>
      <c r="B81" s="85" t="s">
        <v>89</v>
      </c>
      <c r="C81" s="25" t="s">
        <v>12</v>
      </c>
      <c r="D81" s="25">
        <f>ROUND((100*D79*0.3),1)</f>
        <v>90</v>
      </c>
      <c r="E81" s="21"/>
      <c r="F81" s="21"/>
      <c r="G81" s="21"/>
      <c r="H81" s="184"/>
      <c r="I81" s="21"/>
      <c r="J81" s="20"/>
      <c r="K81" s="20"/>
      <c r="L81" s="20"/>
      <c r="M81" s="20"/>
      <c r="N81" s="20"/>
      <c r="O81" s="20"/>
    </row>
    <row r="82" spans="1:15" s="6" customFormat="1" ht="14.25">
      <c r="A82" s="77" t="s">
        <v>270</v>
      </c>
      <c r="B82" s="81" t="s">
        <v>82</v>
      </c>
      <c r="C82" s="75" t="s">
        <v>661</v>
      </c>
      <c r="D82" s="25">
        <f>D22</f>
        <v>0.612</v>
      </c>
      <c r="E82" s="185"/>
      <c r="F82" s="21"/>
      <c r="G82" s="185"/>
      <c r="H82" s="185"/>
      <c r="I82" s="185"/>
      <c r="J82" s="21"/>
      <c r="K82" s="202"/>
      <c r="L82" s="21"/>
      <c r="M82" s="21"/>
      <c r="N82" s="21"/>
      <c r="O82" s="21"/>
    </row>
    <row r="83" spans="1:15" s="6" customFormat="1" ht="14.25">
      <c r="A83" s="77" t="s">
        <v>271</v>
      </c>
      <c r="B83" s="85" t="s">
        <v>90</v>
      </c>
      <c r="C83" s="25" t="s">
        <v>12</v>
      </c>
      <c r="D83" s="98">
        <f>D82*0.15*100</f>
        <v>9.18</v>
      </c>
      <c r="E83" s="201"/>
      <c r="F83" s="186"/>
      <c r="G83" s="186"/>
      <c r="H83" s="187"/>
      <c r="I83" s="21"/>
      <c r="J83" s="20"/>
      <c r="K83" s="20"/>
      <c r="L83" s="20"/>
      <c r="M83" s="20"/>
      <c r="N83" s="20"/>
      <c r="O83" s="20"/>
    </row>
    <row r="84" spans="1:15" s="6" customFormat="1" ht="28.5" customHeight="1">
      <c r="A84" s="77" t="s">
        <v>272</v>
      </c>
      <c r="B84" s="85" t="s">
        <v>13</v>
      </c>
      <c r="C84" s="25" t="s">
        <v>40</v>
      </c>
      <c r="D84" s="98">
        <f>ROUND((100*D82*0.03),1)</f>
        <v>1.8</v>
      </c>
      <c r="E84" s="201"/>
      <c r="F84" s="186"/>
      <c r="G84" s="186"/>
      <c r="H84" s="187"/>
      <c r="I84" s="21"/>
      <c r="J84" s="20"/>
      <c r="K84" s="20"/>
      <c r="L84" s="20"/>
      <c r="M84" s="20"/>
      <c r="N84" s="20"/>
      <c r="O84" s="20"/>
    </row>
    <row r="85" spans="1:15" s="6" customFormat="1" ht="14.25">
      <c r="A85" s="77" t="s">
        <v>273</v>
      </c>
      <c r="B85" s="81" t="s">
        <v>83</v>
      </c>
      <c r="C85" s="75" t="s">
        <v>79</v>
      </c>
      <c r="D85" s="98">
        <f>D23</f>
        <v>4.2</v>
      </c>
      <c r="E85" s="185"/>
      <c r="F85" s="21"/>
      <c r="G85" s="185"/>
      <c r="H85" s="183"/>
      <c r="I85" s="183"/>
      <c r="J85" s="21"/>
      <c r="K85" s="202"/>
      <c r="L85" s="21"/>
      <c r="M85" s="21"/>
      <c r="N85" s="21"/>
      <c r="O85" s="21"/>
    </row>
    <row r="86" spans="1:15" s="6" customFormat="1" ht="25.5">
      <c r="A86" s="77" t="s">
        <v>274</v>
      </c>
      <c r="B86" s="85" t="s">
        <v>94</v>
      </c>
      <c r="C86" s="25" t="s">
        <v>12</v>
      </c>
      <c r="D86" s="121">
        <f>ROUND((D85*0.04),1)</f>
        <v>0.2</v>
      </c>
      <c r="E86" s="196"/>
      <c r="F86" s="20"/>
      <c r="G86" s="20"/>
      <c r="H86" s="196"/>
      <c r="I86" s="21"/>
      <c r="J86" s="20"/>
      <c r="K86" s="20"/>
      <c r="L86" s="20"/>
      <c r="M86" s="20"/>
      <c r="N86" s="20"/>
      <c r="O86" s="20"/>
    </row>
    <row r="87" spans="1:15" s="6" customFormat="1" ht="25.5">
      <c r="A87" s="77" t="s">
        <v>275</v>
      </c>
      <c r="B87" s="85" t="s">
        <v>95</v>
      </c>
      <c r="C87" s="25" t="s">
        <v>12</v>
      </c>
      <c r="D87" s="121">
        <f>ROUND((D85*0.05),1)</f>
        <v>0.2</v>
      </c>
      <c r="E87" s="183"/>
      <c r="F87" s="21"/>
      <c r="G87" s="21"/>
      <c r="H87" s="196"/>
      <c r="I87" s="20"/>
      <c r="J87" s="20"/>
      <c r="K87" s="20"/>
      <c r="L87" s="20"/>
      <c r="M87" s="20"/>
      <c r="N87" s="20"/>
      <c r="O87" s="20"/>
    </row>
    <row r="88" spans="1:15" s="6" customFormat="1" ht="25.5">
      <c r="A88" s="77" t="s">
        <v>276</v>
      </c>
      <c r="B88" s="85" t="s">
        <v>96</v>
      </c>
      <c r="C88" s="70" t="s">
        <v>150</v>
      </c>
      <c r="D88" s="121">
        <f>D85*0.2</f>
        <v>0.8400000000000001</v>
      </c>
      <c r="E88" s="196"/>
      <c r="F88" s="20"/>
      <c r="G88" s="20"/>
      <c r="H88" s="196"/>
      <c r="I88" s="196"/>
      <c r="J88" s="20"/>
      <c r="K88" s="20"/>
      <c r="L88" s="20"/>
      <c r="M88" s="20"/>
      <c r="N88" s="20"/>
      <c r="O88" s="20"/>
    </row>
    <row r="89" spans="1:15" s="6" customFormat="1" ht="25.5">
      <c r="A89" s="77" t="s">
        <v>277</v>
      </c>
      <c r="B89" s="85" t="s">
        <v>183</v>
      </c>
      <c r="C89" s="70" t="s">
        <v>150</v>
      </c>
      <c r="D89" s="121">
        <f>D85*0.3</f>
        <v>1.26</v>
      </c>
      <c r="E89" s="198"/>
      <c r="F89" s="20"/>
      <c r="G89" s="20"/>
      <c r="H89" s="198"/>
      <c r="I89" s="199"/>
      <c r="J89" s="200"/>
      <c r="K89" s="200"/>
      <c r="L89" s="200"/>
      <c r="M89" s="200"/>
      <c r="N89" s="200"/>
      <c r="O89" s="200"/>
    </row>
    <row r="90" spans="1:15" s="6" customFormat="1" ht="25.5">
      <c r="A90" s="77" t="s">
        <v>278</v>
      </c>
      <c r="B90" s="81" t="s">
        <v>78</v>
      </c>
      <c r="C90" s="70" t="s">
        <v>79</v>
      </c>
      <c r="D90" s="98">
        <f>D24</f>
        <v>1.5</v>
      </c>
      <c r="E90" s="185"/>
      <c r="F90" s="21"/>
      <c r="G90" s="185"/>
      <c r="H90" s="185"/>
      <c r="I90" s="185"/>
      <c r="J90" s="21"/>
      <c r="K90" s="202"/>
      <c r="L90" s="21"/>
      <c r="M90" s="21"/>
      <c r="N90" s="21"/>
      <c r="O90" s="21"/>
    </row>
    <row r="91" spans="1:15" s="6" customFormat="1" ht="14.25">
      <c r="A91" s="77" t="s">
        <v>279</v>
      </c>
      <c r="B91" s="85" t="s">
        <v>153</v>
      </c>
      <c r="C91" s="25" t="s">
        <v>157</v>
      </c>
      <c r="D91" s="98">
        <f>D90*0.2</f>
        <v>0.30000000000000004</v>
      </c>
      <c r="E91" s="196"/>
      <c r="F91" s="20"/>
      <c r="G91" s="20"/>
      <c r="H91" s="196"/>
      <c r="I91" s="20"/>
      <c r="J91" s="20"/>
      <c r="K91" s="20"/>
      <c r="L91" s="20"/>
      <c r="M91" s="20"/>
      <c r="N91" s="20"/>
      <c r="O91" s="20"/>
    </row>
    <row r="92" spans="1:15" s="6" customFormat="1" ht="13.5" customHeight="1">
      <c r="A92" s="77" t="s">
        <v>722</v>
      </c>
      <c r="B92" s="85" t="s">
        <v>75</v>
      </c>
      <c r="C92" s="25" t="s">
        <v>12</v>
      </c>
      <c r="D92" s="98">
        <f>2*0.05</f>
        <v>0.1</v>
      </c>
      <c r="E92" s="196"/>
      <c r="F92" s="20"/>
      <c r="G92" s="20"/>
      <c r="H92" s="196"/>
      <c r="I92" s="20"/>
      <c r="J92" s="20"/>
      <c r="K92" s="20"/>
      <c r="L92" s="20"/>
      <c r="M92" s="20"/>
      <c r="N92" s="20"/>
      <c r="O92" s="20"/>
    </row>
    <row r="93" spans="1:15" s="6" customFormat="1" ht="14.25">
      <c r="A93" s="77" t="s">
        <v>743</v>
      </c>
      <c r="B93" s="85" t="s">
        <v>76</v>
      </c>
      <c r="C93" s="25" t="s">
        <v>12</v>
      </c>
      <c r="D93" s="98">
        <f>D90*0.15</f>
        <v>0.22499999999999998</v>
      </c>
      <c r="E93" s="196"/>
      <c r="F93" s="20"/>
      <c r="G93" s="20"/>
      <c r="H93" s="196"/>
      <c r="I93" s="20"/>
      <c r="J93" s="20"/>
      <c r="K93" s="20"/>
      <c r="L93" s="20"/>
      <c r="M93" s="20"/>
      <c r="N93" s="20"/>
      <c r="O93" s="20"/>
    </row>
    <row r="94" spans="1:15" s="6" customFormat="1" ht="13.5" customHeight="1">
      <c r="A94" s="77" t="s">
        <v>744</v>
      </c>
      <c r="B94" s="85" t="s">
        <v>77</v>
      </c>
      <c r="C94" s="25" t="s">
        <v>12</v>
      </c>
      <c r="D94" s="25">
        <f>D90*0.3</f>
        <v>0.44999999999999996</v>
      </c>
      <c r="E94" s="196"/>
      <c r="F94" s="20"/>
      <c r="G94" s="20"/>
      <c r="H94" s="196"/>
      <c r="I94" s="20"/>
      <c r="J94" s="20"/>
      <c r="K94" s="20"/>
      <c r="L94" s="20"/>
      <c r="M94" s="20"/>
      <c r="N94" s="20"/>
      <c r="O94" s="20"/>
    </row>
    <row r="95" spans="1:15" s="47" customFormat="1" ht="15.75" thickBot="1">
      <c r="A95" s="181"/>
      <c r="B95" s="169"/>
      <c r="C95" s="189"/>
      <c r="D95" s="189"/>
      <c r="E95" s="170"/>
      <c r="F95" s="190"/>
      <c r="G95" s="190"/>
      <c r="H95" s="170"/>
      <c r="I95" s="190"/>
      <c r="J95" s="190"/>
      <c r="K95" s="190"/>
      <c r="L95" s="190"/>
      <c r="M95" s="190"/>
      <c r="N95" s="190"/>
      <c r="O95" s="190"/>
    </row>
    <row r="96" spans="1:15" s="47" customFormat="1" ht="13.5" thickTop="1">
      <c r="A96" s="173"/>
      <c r="B96" s="96" t="s">
        <v>654</v>
      </c>
      <c r="C96" s="174"/>
      <c r="D96" s="175"/>
      <c r="E96" s="176"/>
      <c r="F96" s="176"/>
      <c r="G96" s="176"/>
      <c r="H96" s="176"/>
      <c r="I96" s="176"/>
      <c r="J96" s="177"/>
      <c r="K96" s="178"/>
      <c r="L96" s="178"/>
      <c r="M96" s="178"/>
      <c r="N96" s="178"/>
      <c r="O96" s="178"/>
    </row>
    <row r="97" spans="2:15" s="47" customFormat="1" ht="25.5">
      <c r="B97" s="171" t="s">
        <v>662</v>
      </c>
      <c r="C97" s="191"/>
      <c r="D97" s="17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</row>
    <row r="98" spans="1:15" s="47" customFormat="1" ht="12.75">
      <c r="A98" s="46" t="s">
        <v>34</v>
      </c>
      <c r="B98" s="188" t="s">
        <v>654</v>
      </c>
      <c r="C98" s="191"/>
      <c r="D98" s="172"/>
      <c r="E98" s="182"/>
      <c r="F98" s="182"/>
      <c r="G98" s="182"/>
      <c r="H98" s="182"/>
      <c r="I98" s="182"/>
      <c r="J98" s="182"/>
      <c r="K98" s="195"/>
      <c r="L98" s="195"/>
      <c r="M98" s="195"/>
      <c r="N98" s="195"/>
      <c r="O98" s="195"/>
    </row>
    <row r="99" spans="1:4" s="47" customFormat="1" ht="12.75">
      <c r="A99" s="48" t="s">
        <v>35</v>
      </c>
      <c r="B99" s="12"/>
      <c r="C99" s="63"/>
      <c r="D99" s="65"/>
    </row>
    <row r="100" spans="1:4" s="47" customFormat="1" ht="12.75">
      <c r="A100" s="48" t="s">
        <v>18</v>
      </c>
      <c r="B100" s="12"/>
      <c r="C100" s="63"/>
      <c r="D100" s="65"/>
    </row>
    <row r="101" spans="1:4" s="47" customFormat="1" ht="12.75">
      <c r="A101" s="48" t="s">
        <v>19</v>
      </c>
      <c r="B101" s="66"/>
      <c r="C101" s="66"/>
      <c r="D101" s="65"/>
    </row>
    <row r="102" spans="1:4" s="47" customFormat="1" ht="12.75">
      <c r="A102" s="48" t="s">
        <v>36</v>
      </c>
      <c r="B102" s="66"/>
      <c r="C102" s="66"/>
      <c r="D102" s="65"/>
    </row>
    <row r="103" spans="1:4" s="47" customFormat="1" ht="12.75">
      <c r="A103" s="48" t="s">
        <v>37</v>
      </c>
      <c r="B103" s="66"/>
      <c r="C103" s="66"/>
      <c r="D103" s="65"/>
    </row>
    <row r="104" spans="1:4" s="47" customFormat="1" ht="12.75">
      <c r="A104" s="48" t="s">
        <v>38</v>
      </c>
      <c r="B104" s="66"/>
      <c r="C104" s="66"/>
      <c r="D104" s="65"/>
    </row>
    <row r="105" spans="1:4" s="47" customFormat="1" ht="12.75">
      <c r="A105" s="48" t="s">
        <v>39</v>
      </c>
      <c r="B105" s="66"/>
      <c r="C105" s="66"/>
      <c r="D105" s="65"/>
    </row>
    <row r="106" spans="1:4" s="47" customFormat="1" ht="12.75">
      <c r="A106" s="11" t="s">
        <v>20</v>
      </c>
      <c r="B106" s="66"/>
      <c r="C106" s="66"/>
      <c r="D106" s="65"/>
    </row>
    <row r="107" spans="1:10" ht="12.75">
      <c r="A107" s="31" t="s">
        <v>7</v>
      </c>
      <c r="B107" s="180"/>
      <c r="C107" s="31" t="s">
        <v>6</v>
      </c>
      <c r="G107" s="30"/>
      <c r="H107" s="224"/>
      <c r="I107" s="224"/>
      <c r="J107" s="224"/>
    </row>
    <row r="108" ht="12.75">
      <c r="B108" s="69"/>
    </row>
    <row r="109" spans="1:2" ht="12.75">
      <c r="A109" s="31"/>
      <c r="B109" s="31"/>
    </row>
    <row r="110" ht="12.75">
      <c r="B110" s="30"/>
    </row>
    <row r="111" ht="12.75">
      <c r="B111" s="30"/>
    </row>
  </sheetData>
  <sheetProtection/>
  <mergeCells count="28">
    <mergeCell ref="K10:O10"/>
    <mergeCell ref="G9:I9"/>
    <mergeCell ref="J9:L9"/>
    <mergeCell ref="A3:D3"/>
    <mergeCell ref="B8:D8"/>
    <mergeCell ref="A10:A11"/>
    <mergeCell ref="B10:B11"/>
    <mergeCell ref="C10:C11"/>
    <mergeCell ref="D10:D11"/>
    <mergeCell ref="E10:J10"/>
    <mergeCell ref="A2:B2"/>
    <mergeCell ref="B5:D5"/>
    <mergeCell ref="B6:D6"/>
    <mergeCell ref="B7:D7"/>
    <mergeCell ref="A44:D44"/>
    <mergeCell ref="A14:D14"/>
    <mergeCell ref="A42:D42"/>
    <mergeCell ref="A25:D25"/>
    <mergeCell ref="A30:D30"/>
    <mergeCell ref="A35:D35"/>
    <mergeCell ref="A37:D37"/>
    <mergeCell ref="A15:D15"/>
    <mergeCell ref="A21:D21"/>
    <mergeCell ref="A45:D45"/>
    <mergeCell ref="A78:C78"/>
    <mergeCell ref="A73:D73"/>
    <mergeCell ref="A75:D75"/>
    <mergeCell ref="A64:D64"/>
  </mergeCells>
  <printOptions horizontalCentered="1"/>
  <pageMargins left="0.3937007874015748" right="0.3937007874015748" top="0.7874015748031497" bottom="0.5905511811023623" header="0.31496062992125984" footer="0.3937007874015748"/>
  <pageSetup fitToHeight="4" fitToWidth="1" horizontalDpi="600" verticalDpi="600" orientation="landscape" paperSize="9" scale="75" r:id="rId1"/>
  <headerFooter alignWithMargins="0">
    <oddFooter>&amp;CLapaspuse &amp;P no &amp;N&amp;R&amp;A</oddFooter>
  </headerFooter>
  <rowBreaks count="3" manualBreakCount="3">
    <brk id="30" max="14" man="1"/>
    <brk id="54" max="14" man="1"/>
    <brk id="76" max="14" man="1"/>
  </rowBreaks>
  <ignoredErrors>
    <ignoredError sqref="D49 D6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106"/>
  <sheetViews>
    <sheetView view="pageBreakPreview" zoomScale="85" zoomScaleSheetLayoutView="85" zoomScalePageLayoutView="0" workbookViewId="0" topLeftCell="A85">
      <selection activeCell="C93" sqref="C93"/>
    </sheetView>
  </sheetViews>
  <sheetFormatPr defaultColWidth="9.140625" defaultRowHeight="12.75" outlineLevelRow="1"/>
  <cols>
    <col min="1" max="1" width="13.28125" style="0" customWidth="1"/>
    <col min="2" max="2" width="47.57421875" style="0" customWidth="1"/>
    <col min="3" max="3" width="11.140625" style="0" customWidth="1"/>
    <col min="4" max="4" width="10.7109375" style="0" customWidth="1"/>
    <col min="5" max="5" width="7.7109375" style="0" customWidth="1"/>
    <col min="6" max="6" width="7.421875" style="0" customWidth="1"/>
    <col min="7" max="7" width="8.00390625" style="0" customWidth="1"/>
    <col min="8" max="8" width="8.8515625" style="0" customWidth="1"/>
    <col min="9" max="9" width="7.00390625" style="0" customWidth="1"/>
    <col min="10" max="10" width="9.57421875" style="0" customWidth="1"/>
    <col min="11" max="11" width="10.57421875" style="0" customWidth="1"/>
    <col min="12" max="12" width="9.421875" style="0" bestFit="1" customWidth="1"/>
    <col min="13" max="13" width="10.7109375" style="0" customWidth="1"/>
    <col min="14" max="14" width="9.421875" style="0" bestFit="1" customWidth="1"/>
    <col min="15" max="15" width="10.421875" style="0" bestFit="1" customWidth="1"/>
  </cols>
  <sheetData>
    <row r="1" spans="4:9" ht="12.75" outlineLevel="1">
      <c r="D1" s="99"/>
      <c r="F1">
        <v>5.41</v>
      </c>
      <c r="I1" s="29">
        <v>0.08</v>
      </c>
    </row>
    <row r="3" ht="13.5" thickBot="1">
      <c r="B3" s="126" t="s">
        <v>695</v>
      </c>
    </row>
    <row r="4" spans="1:15" ht="15.75" customHeight="1" thickTop="1">
      <c r="A4" s="329" t="s">
        <v>282</v>
      </c>
      <c r="B4" s="329"/>
      <c r="C4" s="329"/>
      <c r="D4" s="32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25.5">
      <c r="A6" s="41" t="s">
        <v>21</v>
      </c>
      <c r="B6" s="331" t="s">
        <v>163</v>
      </c>
      <c r="C6" s="331"/>
      <c r="D6" s="331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2.75">
      <c r="A7" s="8" t="s">
        <v>22</v>
      </c>
      <c r="B7" s="320" t="str">
        <f>'LKT-2;Krokusu '!B6:D6</f>
        <v>KDS "Ziedonis", Katlakalns, Ķekavas pagasts, Ķekavas novads</v>
      </c>
      <c r="C7" s="320"/>
      <c r="D7" s="320"/>
      <c r="E7" s="14"/>
      <c r="F7" s="14"/>
      <c r="G7" s="14"/>
      <c r="H7" s="14"/>
      <c r="I7" s="14"/>
      <c r="J7" s="14"/>
      <c r="K7" s="14"/>
      <c r="L7" s="8"/>
      <c r="M7" s="8"/>
      <c r="N7" s="8"/>
      <c r="O7" s="8"/>
    </row>
    <row r="8" spans="1:15" ht="12.75">
      <c r="A8" s="8"/>
      <c r="B8" s="320"/>
      <c r="C8" s="320"/>
      <c r="D8" s="320"/>
      <c r="E8" s="50"/>
      <c r="F8" s="50"/>
      <c r="G8" s="31"/>
      <c r="H8" s="1"/>
      <c r="I8" s="17" t="s">
        <v>8</v>
      </c>
      <c r="J8" s="2">
        <f>O94</f>
        <v>0</v>
      </c>
      <c r="K8" s="204" t="s">
        <v>685</v>
      </c>
      <c r="L8" s="53"/>
      <c r="M8" s="8"/>
      <c r="N8" s="8"/>
      <c r="O8" s="8"/>
    </row>
    <row r="9" spans="1:15" ht="13.5" thickBot="1">
      <c r="A9" s="8"/>
      <c r="B9" s="320"/>
      <c r="C9" s="320"/>
      <c r="D9" s="320"/>
      <c r="E9" s="52"/>
      <c r="F9" s="53"/>
      <c r="G9" s="322" t="s">
        <v>663</v>
      </c>
      <c r="H9" s="322"/>
      <c r="I9" s="322"/>
      <c r="J9" s="323" t="s">
        <v>686</v>
      </c>
      <c r="K9" s="323"/>
      <c r="L9" s="323"/>
      <c r="M9" s="53"/>
      <c r="N9" s="53"/>
      <c r="O9" s="53"/>
    </row>
    <row r="10" spans="1:15" ht="12.75">
      <c r="A10" s="324" t="s">
        <v>24</v>
      </c>
      <c r="B10" s="318" t="s">
        <v>25</v>
      </c>
      <c r="C10" s="327" t="s">
        <v>26</v>
      </c>
      <c r="D10" s="327" t="s">
        <v>27</v>
      </c>
      <c r="E10" s="318" t="s">
        <v>28</v>
      </c>
      <c r="F10" s="318"/>
      <c r="G10" s="318"/>
      <c r="H10" s="318"/>
      <c r="I10" s="318"/>
      <c r="J10" s="318"/>
      <c r="K10" s="318" t="s">
        <v>29</v>
      </c>
      <c r="L10" s="318" t="s">
        <v>29</v>
      </c>
      <c r="M10" s="318"/>
      <c r="N10" s="318"/>
      <c r="O10" s="321"/>
    </row>
    <row r="11" spans="1:15" ht="91.5" customHeight="1" thickBot="1">
      <c r="A11" s="325"/>
      <c r="B11" s="326"/>
      <c r="C11" s="328"/>
      <c r="D11" s="328"/>
      <c r="E11" s="32" t="s">
        <v>30</v>
      </c>
      <c r="F11" s="32" t="s">
        <v>678</v>
      </c>
      <c r="G11" s="32" t="s">
        <v>677</v>
      </c>
      <c r="H11" s="56" t="s">
        <v>679</v>
      </c>
      <c r="I11" s="32" t="s">
        <v>680</v>
      </c>
      <c r="J11" s="32" t="s">
        <v>681</v>
      </c>
      <c r="K11" s="32" t="s">
        <v>31</v>
      </c>
      <c r="L11" s="32" t="s">
        <v>682</v>
      </c>
      <c r="M11" s="32" t="s">
        <v>683</v>
      </c>
      <c r="N11" s="32" t="s">
        <v>680</v>
      </c>
      <c r="O11" s="57" t="s">
        <v>684</v>
      </c>
    </row>
    <row r="12" spans="1:15" ht="13.5" thickBot="1">
      <c r="A12" s="58">
        <v>1</v>
      </c>
      <c r="B12" s="59">
        <v>2</v>
      </c>
      <c r="C12" s="59">
        <v>3</v>
      </c>
      <c r="D12" s="59">
        <v>4</v>
      </c>
      <c r="E12" s="59">
        <v>5</v>
      </c>
      <c r="F12" s="59">
        <v>6</v>
      </c>
      <c r="G12" s="59">
        <v>7</v>
      </c>
      <c r="H12" s="59">
        <v>8</v>
      </c>
      <c r="I12" s="59">
        <v>9</v>
      </c>
      <c r="J12" s="59">
        <v>10</v>
      </c>
      <c r="K12" s="59">
        <v>11</v>
      </c>
      <c r="L12" s="59">
        <v>12</v>
      </c>
      <c r="M12" s="59">
        <v>13</v>
      </c>
      <c r="N12" s="59">
        <v>14</v>
      </c>
      <c r="O12" s="60">
        <v>15</v>
      </c>
    </row>
    <row r="13" spans="1:15" ht="16.5" thickBot="1">
      <c r="A13" s="314" t="s">
        <v>107</v>
      </c>
      <c r="B13" s="315"/>
      <c r="C13" s="315"/>
      <c r="D13" s="315"/>
      <c r="E13" s="73"/>
      <c r="F13" s="72"/>
      <c r="G13" s="72"/>
      <c r="H13" s="72"/>
      <c r="I13" s="72"/>
      <c r="J13" s="61"/>
      <c r="K13" s="61"/>
      <c r="L13" s="61"/>
      <c r="M13" s="61"/>
      <c r="N13" s="61"/>
      <c r="O13" s="112"/>
    </row>
    <row r="14" spans="1:15" ht="15.75" thickBot="1">
      <c r="A14" s="312" t="s">
        <v>106</v>
      </c>
      <c r="B14" s="313"/>
      <c r="C14" s="313"/>
      <c r="D14" s="319"/>
      <c r="E14" s="74"/>
      <c r="F14" s="75"/>
      <c r="G14" s="15"/>
      <c r="H14" s="15"/>
      <c r="I14" s="15"/>
      <c r="J14" s="42"/>
      <c r="K14" s="42"/>
      <c r="L14" s="42"/>
      <c r="M14" s="42"/>
      <c r="N14" s="42"/>
      <c r="O14" s="43"/>
    </row>
    <row r="15" spans="1:15" ht="12.75">
      <c r="A15" s="70" t="s">
        <v>283</v>
      </c>
      <c r="B15" s="76" t="s">
        <v>50</v>
      </c>
      <c r="C15" s="70" t="s">
        <v>32</v>
      </c>
      <c r="D15" s="70">
        <v>1</v>
      </c>
      <c r="E15" s="185"/>
      <c r="F15" s="21"/>
      <c r="G15" s="185"/>
      <c r="H15" s="193"/>
      <c r="I15" s="21"/>
      <c r="J15" s="21"/>
      <c r="K15" s="21"/>
      <c r="L15" s="21"/>
      <c r="M15" s="21"/>
      <c r="N15" s="21"/>
      <c r="O15" s="21"/>
    </row>
    <row r="16" spans="1:15" ht="12.75">
      <c r="A16" s="70" t="s">
        <v>284</v>
      </c>
      <c r="B16" s="78" t="s">
        <v>51</v>
      </c>
      <c r="C16" s="75" t="s">
        <v>47</v>
      </c>
      <c r="D16" s="70">
        <v>1</v>
      </c>
      <c r="E16" s="185"/>
      <c r="F16" s="21"/>
      <c r="G16" s="183"/>
      <c r="H16" s="195"/>
      <c r="I16" s="21"/>
      <c r="J16" s="21"/>
      <c r="K16" s="21"/>
      <c r="L16" s="21"/>
      <c r="M16" s="21"/>
      <c r="N16" s="21"/>
      <c r="O16" s="36"/>
    </row>
    <row r="17" spans="1:15" ht="25.5">
      <c r="A17" s="70" t="s">
        <v>285</v>
      </c>
      <c r="B17" s="78" t="s">
        <v>154</v>
      </c>
      <c r="C17" s="75" t="s">
        <v>33</v>
      </c>
      <c r="D17" s="70">
        <v>8</v>
      </c>
      <c r="E17" s="185"/>
      <c r="F17" s="21"/>
      <c r="G17" s="183"/>
      <c r="H17" s="195"/>
      <c r="I17" s="21"/>
      <c r="J17" s="21"/>
      <c r="K17" s="21"/>
      <c r="L17" s="21"/>
      <c r="M17" s="21"/>
      <c r="N17" s="21"/>
      <c r="O17" s="36"/>
    </row>
    <row r="18" spans="1:15" ht="25.5">
      <c r="A18" s="70" t="s">
        <v>286</v>
      </c>
      <c r="B18" s="78" t="s">
        <v>186</v>
      </c>
      <c r="C18" s="75" t="s">
        <v>16</v>
      </c>
      <c r="D18" s="70">
        <v>18</v>
      </c>
      <c r="E18" s="185"/>
      <c r="F18" s="21"/>
      <c r="G18" s="183"/>
      <c r="H18" s="183"/>
      <c r="I18" s="21"/>
      <c r="J18" s="21"/>
      <c r="K18" s="21"/>
      <c r="L18" s="21"/>
      <c r="M18" s="21"/>
      <c r="N18" s="21"/>
      <c r="O18" s="36"/>
    </row>
    <row r="19" spans="1:15" ht="13.5" thickBot="1">
      <c r="A19" s="70" t="s">
        <v>287</v>
      </c>
      <c r="B19" s="78" t="s">
        <v>45</v>
      </c>
      <c r="C19" s="79" t="s">
        <v>46</v>
      </c>
      <c r="D19" s="70">
        <v>1</v>
      </c>
      <c r="E19" s="21"/>
      <c r="F19" s="21"/>
      <c r="G19" s="185"/>
      <c r="H19" s="193"/>
      <c r="I19" s="21"/>
      <c r="J19" s="21"/>
      <c r="K19" s="202"/>
      <c r="L19" s="21"/>
      <c r="M19" s="21"/>
      <c r="N19" s="21"/>
      <c r="O19" s="21"/>
    </row>
    <row r="20" spans="1:15" ht="15.75" thickBot="1">
      <c r="A20" s="312" t="s">
        <v>105</v>
      </c>
      <c r="B20" s="313"/>
      <c r="C20" s="313"/>
      <c r="D20" s="319"/>
      <c r="E20" s="74"/>
      <c r="F20" s="75"/>
      <c r="G20" s="15"/>
      <c r="H20" s="15"/>
      <c r="I20" s="15"/>
      <c r="J20" s="42"/>
      <c r="K20" s="33"/>
      <c r="L20" s="33"/>
      <c r="M20" s="33"/>
      <c r="N20" s="33"/>
      <c r="O20" s="37"/>
    </row>
    <row r="21" spans="1:15" ht="25.5">
      <c r="A21" s="70" t="s">
        <v>288</v>
      </c>
      <c r="B21" s="10" t="s">
        <v>155</v>
      </c>
      <c r="C21" s="79" t="s">
        <v>664</v>
      </c>
      <c r="D21" s="70">
        <f>65*1.2/100</f>
        <v>0.78</v>
      </c>
      <c r="E21" s="203"/>
      <c r="F21" s="21"/>
      <c r="G21" s="185"/>
      <c r="H21" s="183"/>
      <c r="I21" s="203"/>
      <c r="J21" s="21"/>
      <c r="K21" s="202"/>
      <c r="L21" s="21"/>
      <c r="M21" s="21"/>
      <c r="N21" s="21"/>
      <c r="O21" s="36"/>
    </row>
    <row r="22" spans="1:15" ht="25.5">
      <c r="A22" s="70" t="s">
        <v>289</v>
      </c>
      <c r="B22" s="4" t="s">
        <v>161</v>
      </c>
      <c r="C22" s="79" t="s">
        <v>48</v>
      </c>
      <c r="D22" s="104">
        <v>4.5</v>
      </c>
      <c r="E22" s="197"/>
      <c r="F22" s="21"/>
      <c r="G22" s="185"/>
      <c r="H22" s="183"/>
      <c r="I22" s="21"/>
      <c r="J22" s="21"/>
      <c r="K22" s="202"/>
      <c r="L22" s="21"/>
      <c r="M22" s="21"/>
      <c r="N22" s="21"/>
      <c r="O22" s="21"/>
    </row>
    <row r="23" spans="1:15" ht="15.75" thickBot="1">
      <c r="A23" s="334" t="s">
        <v>104</v>
      </c>
      <c r="B23" s="335"/>
      <c r="C23" s="335"/>
      <c r="D23" s="336"/>
      <c r="E23" s="16"/>
      <c r="F23" s="70"/>
      <c r="G23" s="16"/>
      <c r="H23" s="16"/>
      <c r="I23" s="16"/>
      <c r="J23" s="21"/>
      <c r="K23" s="21"/>
      <c r="L23" s="33"/>
      <c r="M23" s="33"/>
      <c r="N23" s="33"/>
      <c r="O23" s="37"/>
    </row>
    <row r="24" spans="1:15" ht="12.75">
      <c r="A24" s="70" t="s">
        <v>290</v>
      </c>
      <c r="B24" s="82" t="s">
        <v>11</v>
      </c>
      <c r="C24" s="83" t="s">
        <v>41</v>
      </c>
      <c r="D24" s="125">
        <v>2</v>
      </c>
      <c r="E24" s="42"/>
      <c r="F24" s="192"/>
      <c r="G24" s="185"/>
      <c r="H24" s="194"/>
      <c r="I24" s="183"/>
      <c r="J24" s="42"/>
      <c r="K24" s="202"/>
      <c r="L24" s="21"/>
      <c r="M24" s="21"/>
      <c r="N24" s="21"/>
      <c r="O24" s="21"/>
    </row>
    <row r="25" spans="1:15" ht="12.75">
      <c r="A25" s="70" t="s">
        <v>291</v>
      </c>
      <c r="B25" s="82" t="s">
        <v>66</v>
      </c>
      <c r="C25" s="83" t="s">
        <v>41</v>
      </c>
      <c r="D25" s="125">
        <v>6</v>
      </c>
      <c r="E25" s="42"/>
      <c r="F25" s="192"/>
      <c r="G25" s="185"/>
      <c r="H25" s="194"/>
      <c r="I25" s="183"/>
      <c r="J25" s="42"/>
      <c r="K25" s="202"/>
      <c r="L25" s="21"/>
      <c r="M25" s="21"/>
      <c r="N25" s="21"/>
      <c r="O25" s="21"/>
    </row>
    <row r="26" spans="1:15" ht="12.75">
      <c r="A26" s="70" t="s">
        <v>292</v>
      </c>
      <c r="B26" s="82" t="s">
        <v>191</v>
      </c>
      <c r="C26" s="83" t="s">
        <v>41</v>
      </c>
      <c r="D26" s="125">
        <v>2</v>
      </c>
      <c r="E26" s="42"/>
      <c r="F26" s="192"/>
      <c r="G26" s="185"/>
      <c r="H26" s="194"/>
      <c r="I26" s="183"/>
      <c r="J26" s="42"/>
      <c r="K26" s="202"/>
      <c r="L26" s="21"/>
      <c r="M26" s="21"/>
      <c r="N26" s="21"/>
      <c r="O26" s="21"/>
    </row>
    <row r="27" spans="1:15" ht="12.75">
      <c r="A27" s="70" t="s">
        <v>293</v>
      </c>
      <c r="B27" s="82" t="s">
        <v>14</v>
      </c>
      <c r="C27" s="83" t="s">
        <v>41</v>
      </c>
      <c r="D27" s="125">
        <v>19</v>
      </c>
      <c r="E27" s="42"/>
      <c r="F27" s="192"/>
      <c r="G27" s="185"/>
      <c r="H27" s="194"/>
      <c r="I27" s="183"/>
      <c r="J27" s="42"/>
      <c r="K27" s="202"/>
      <c r="L27" s="21"/>
      <c r="M27" s="21"/>
      <c r="N27" s="21"/>
      <c r="O27" s="21"/>
    </row>
    <row r="28" spans="1:15" ht="13.5" thickBot="1">
      <c r="A28" s="70" t="s">
        <v>294</v>
      </c>
      <c r="B28" s="7" t="s">
        <v>69</v>
      </c>
      <c r="C28" s="24" t="s">
        <v>16</v>
      </c>
      <c r="D28" s="129">
        <v>8</v>
      </c>
      <c r="E28" s="184"/>
      <c r="F28" s="20"/>
      <c r="G28" s="185"/>
      <c r="H28" s="184"/>
      <c r="I28" s="21"/>
      <c r="J28" s="20"/>
      <c r="K28" s="20"/>
      <c r="L28" s="20"/>
      <c r="M28" s="20"/>
      <c r="N28" s="20"/>
      <c r="O28" s="20"/>
    </row>
    <row r="29" spans="1:15" ht="52.5" customHeight="1" thickBot="1">
      <c r="A29" s="312" t="s">
        <v>160</v>
      </c>
      <c r="B29" s="313"/>
      <c r="C29" s="313"/>
      <c r="D29" s="319"/>
      <c r="E29" s="86"/>
      <c r="F29" s="70"/>
      <c r="G29" s="16"/>
      <c r="H29" s="16"/>
      <c r="I29" s="16"/>
      <c r="J29" s="21"/>
      <c r="K29" s="33"/>
      <c r="L29" s="33"/>
      <c r="M29" s="33"/>
      <c r="N29" s="33"/>
      <c r="O29" s="37"/>
    </row>
    <row r="30" spans="1:15" ht="12.75">
      <c r="A30" s="70" t="s">
        <v>295</v>
      </c>
      <c r="B30" s="80" t="s">
        <v>200</v>
      </c>
      <c r="C30" s="70" t="s">
        <v>33</v>
      </c>
      <c r="D30" s="70">
        <v>13.3</v>
      </c>
      <c r="E30" s="185"/>
      <c r="F30" s="21"/>
      <c r="G30" s="21"/>
      <c r="H30" s="185"/>
      <c r="I30" s="21"/>
      <c r="J30" s="21"/>
      <c r="K30" s="21"/>
      <c r="L30" s="21"/>
      <c r="M30" s="21"/>
      <c r="N30" s="21"/>
      <c r="O30" s="36"/>
    </row>
    <row r="31" spans="1:15" ht="12.75">
      <c r="A31" s="70" t="s">
        <v>296</v>
      </c>
      <c r="B31" s="80" t="s">
        <v>164</v>
      </c>
      <c r="C31" s="70" t="s">
        <v>33</v>
      </c>
      <c r="D31" s="70">
        <v>218</v>
      </c>
      <c r="E31" s="185"/>
      <c r="F31" s="21"/>
      <c r="G31" s="21"/>
      <c r="H31" s="183"/>
      <c r="I31" s="183"/>
      <c r="J31" s="21"/>
      <c r="K31" s="21"/>
      <c r="L31" s="21"/>
      <c r="M31" s="21"/>
      <c r="N31" s="21"/>
      <c r="O31" s="36"/>
    </row>
    <row r="32" spans="1:15" ht="12.75">
      <c r="A32" s="70" t="s">
        <v>297</v>
      </c>
      <c r="B32" s="80" t="s">
        <v>199</v>
      </c>
      <c r="C32" s="70" t="s">
        <v>33</v>
      </c>
      <c r="D32" s="70">
        <v>106</v>
      </c>
      <c r="E32" s="185"/>
      <c r="F32" s="21"/>
      <c r="G32" s="21"/>
      <c r="H32" s="183"/>
      <c r="I32" s="183"/>
      <c r="J32" s="21"/>
      <c r="K32" s="21"/>
      <c r="L32" s="21"/>
      <c r="M32" s="21"/>
      <c r="N32" s="21"/>
      <c r="O32" s="36"/>
    </row>
    <row r="33" spans="1:15" ht="38.25">
      <c r="A33" s="70" t="s">
        <v>298</v>
      </c>
      <c r="B33" s="115" t="s">
        <v>344</v>
      </c>
      <c r="C33" s="70" t="s">
        <v>33</v>
      </c>
      <c r="D33" s="104">
        <v>102</v>
      </c>
      <c r="E33" s="185"/>
      <c r="F33" s="21"/>
      <c r="G33" s="21"/>
      <c r="H33" s="185"/>
      <c r="I33" s="21"/>
      <c r="J33" s="21"/>
      <c r="K33" s="21"/>
      <c r="L33" s="21"/>
      <c r="M33" s="21"/>
      <c r="N33" s="21"/>
      <c r="O33" s="36"/>
    </row>
    <row r="34" spans="1:15" ht="38.25">
      <c r="A34" s="70" t="s">
        <v>299</v>
      </c>
      <c r="B34" s="115" t="s">
        <v>345</v>
      </c>
      <c r="C34" s="70" t="s">
        <v>33</v>
      </c>
      <c r="D34" s="104">
        <v>18</v>
      </c>
      <c r="E34" s="185"/>
      <c r="F34" s="21"/>
      <c r="G34" s="21"/>
      <c r="H34" s="185"/>
      <c r="I34" s="21"/>
      <c r="J34" s="21"/>
      <c r="K34" s="21"/>
      <c r="L34" s="21"/>
      <c r="M34" s="21"/>
      <c r="N34" s="21"/>
      <c r="O34" s="36"/>
    </row>
    <row r="35" spans="1:15" ht="26.25" thickBot="1">
      <c r="A35" s="70" t="s">
        <v>300</v>
      </c>
      <c r="B35" s="81" t="s">
        <v>112</v>
      </c>
      <c r="C35" s="70" t="s">
        <v>33</v>
      </c>
      <c r="D35" s="70">
        <f>60.3-20*0.6</f>
        <v>48.3</v>
      </c>
      <c r="E35" s="185"/>
      <c r="F35" s="21"/>
      <c r="G35" s="21"/>
      <c r="H35" s="185"/>
      <c r="I35" s="21"/>
      <c r="J35" s="21"/>
      <c r="K35" s="21"/>
      <c r="L35" s="21"/>
      <c r="M35" s="21"/>
      <c r="N35" s="21"/>
      <c r="O35" s="36"/>
    </row>
    <row r="36" spans="1:15" ht="15.75" thickBot="1">
      <c r="A36" s="312" t="s">
        <v>103</v>
      </c>
      <c r="B36" s="313"/>
      <c r="C36" s="313"/>
      <c r="D36" s="319"/>
      <c r="E36" s="87"/>
      <c r="F36" s="70"/>
      <c r="G36" s="16"/>
      <c r="H36" s="16"/>
      <c r="I36" s="16"/>
      <c r="J36" s="21"/>
      <c r="K36" s="21"/>
      <c r="L36" s="21"/>
      <c r="M36" s="21"/>
      <c r="N36" s="21"/>
      <c r="O36" s="36"/>
    </row>
    <row r="37" spans="1:15" ht="12.75">
      <c r="A37" s="70" t="s">
        <v>301</v>
      </c>
      <c r="B37" s="81" t="s">
        <v>59</v>
      </c>
      <c r="C37" s="70" t="s">
        <v>33</v>
      </c>
      <c r="D37" s="70">
        <v>13.5</v>
      </c>
      <c r="E37" s="185"/>
      <c r="F37" s="21"/>
      <c r="G37" s="185"/>
      <c r="H37" s="185"/>
      <c r="I37" s="21"/>
      <c r="J37" s="21"/>
      <c r="K37" s="21"/>
      <c r="L37" s="21"/>
      <c r="M37" s="21"/>
      <c r="N37" s="21"/>
      <c r="O37" s="21"/>
    </row>
    <row r="38" spans="1:15" ht="12.75">
      <c r="A38" s="70" t="s">
        <v>302</v>
      </c>
      <c r="B38" s="82" t="s">
        <v>60</v>
      </c>
      <c r="C38" s="70" t="s">
        <v>33</v>
      </c>
      <c r="D38" s="70">
        <v>225</v>
      </c>
      <c r="E38" s="185"/>
      <c r="F38" s="21"/>
      <c r="G38" s="185"/>
      <c r="H38" s="185"/>
      <c r="I38" s="21"/>
      <c r="J38" s="21"/>
      <c r="K38" s="21"/>
      <c r="L38" s="21"/>
      <c r="M38" s="21"/>
      <c r="N38" s="21"/>
      <c r="O38" s="21"/>
    </row>
    <row r="39" spans="1:15" ht="13.5" thickBot="1">
      <c r="A39" s="70" t="s">
        <v>303</v>
      </c>
      <c r="B39" s="81" t="s">
        <v>99</v>
      </c>
      <c r="C39" s="70" t="s">
        <v>100</v>
      </c>
      <c r="D39" s="70">
        <v>18</v>
      </c>
      <c r="E39" s="185"/>
      <c r="F39" s="21"/>
      <c r="G39" s="185"/>
      <c r="H39" s="185"/>
      <c r="I39" s="21"/>
      <c r="J39" s="21"/>
      <c r="K39" s="21"/>
      <c r="L39" s="21"/>
      <c r="M39" s="21"/>
      <c r="N39" s="21"/>
      <c r="O39" s="21"/>
    </row>
    <row r="40" spans="1:15" ht="33.75" customHeight="1" thickBot="1">
      <c r="A40" s="312" t="s">
        <v>102</v>
      </c>
      <c r="B40" s="313"/>
      <c r="C40" s="313"/>
      <c r="D40" s="319"/>
      <c r="E40" s="87"/>
      <c r="F40" s="70"/>
      <c r="G40" s="16"/>
      <c r="H40" s="16"/>
      <c r="I40" s="16"/>
      <c r="J40" s="21"/>
      <c r="K40" s="21"/>
      <c r="L40" s="21"/>
      <c r="M40" s="21"/>
      <c r="N40" s="21"/>
      <c r="O40" s="36"/>
    </row>
    <row r="41" spans="1:15" ht="38.25">
      <c r="A41" s="70" t="s">
        <v>304</v>
      </c>
      <c r="B41" s="4" t="s">
        <v>187</v>
      </c>
      <c r="C41" s="79" t="s">
        <v>44</v>
      </c>
      <c r="D41" s="70">
        <f>ROUND(D30*1.25*1.2+D31*1.75*1.2+D32*2.25*1.2+D35*1.75*1.2-D58-D49-D86-D87-D89,0)</f>
        <v>518</v>
      </c>
      <c r="E41" s="183"/>
      <c r="F41" s="21"/>
      <c r="G41" s="185"/>
      <c r="H41" s="183"/>
      <c r="I41" s="21"/>
      <c r="J41" s="21"/>
      <c r="K41" s="202"/>
      <c r="L41" s="21"/>
      <c r="M41" s="21"/>
      <c r="N41" s="21"/>
      <c r="O41" s="21"/>
    </row>
    <row r="42" spans="1:15" ht="38.25">
      <c r="A42" s="70" t="s">
        <v>305</v>
      </c>
      <c r="B42" s="85" t="s">
        <v>109</v>
      </c>
      <c r="C42" s="88" t="s">
        <v>44</v>
      </c>
      <c r="D42" s="70">
        <f>D41*0.1</f>
        <v>51.800000000000004</v>
      </c>
      <c r="E42" s="185"/>
      <c r="F42" s="21"/>
      <c r="G42" s="185"/>
      <c r="H42" s="185"/>
      <c r="I42" s="185"/>
      <c r="J42" s="21"/>
      <c r="K42" s="202"/>
      <c r="L42" s="21"/>
      <c r="M42" s="21"/>
      <c r="N42" s="21"/>
      <c r="O42" s="21"/>
    </row>
    <row r="43" spans="1:15" ht="12.75">
      <c r="A43" s="70" t="s">
        <v>306</v>
      </c>
      <c r="B43" s="7" t="s">
        <v>188</v>
      </c>
      <c r="C43" s="88" t="s">
        <v>44</v>
      </c>
      <c r="D43" s="25">
        <f>D42</f>
        <v>51.800000000000004</v>
      </c>
      <c r="E43" s="184"/>
      <c r="F43" s="20"/>
      <c r="G43" s="184"/>
      <c r="H43" s="184"/>
      <c r="I43" s="21"/>
      <c r="J43" s="20"/>
      <c r="K43" s="20"/>
      <c r="L43" s="20"/>
      <c r="M43" s="20"/>
      <c r="N43" s="20"/>
      <c r="O43" s="20"/>
    </row>
    <row r="44" spans="1:15" ht="26.25" thickBot="1">
      <c r="A44" s="70" t="s">
        <v>307</v>
      </c>
      <c r="B44" s="4" t="s">
        <v>110</v>
      </c>
      <c r="C44" s="79" t="s">
        <v>44</v>
      </c>
      <c r="D44" s="70">
        <f>D49+D58+D43+D86+D87</f>
        <v>387.5</v>
      </c>
      <c r="E44" s="185"/>
      <c r="F44" s="21"/>
      <c r="G44" s="185"/>
      <c r="H44" s="185"/>
      <c r="I44" s="185"/>
      <c r="J44" s="21"/>
      <c r="K44" s="202"/>
      <c r="L44" s="21"/>
      <c r="M44" s="21"/>
      <c r="N44" s="21"/>
      <c r="O44" s="21"/>
    </row>
    <row r="45" spans="1:15" ht="16.5" customHeight="1" thickBot="1">
      <c r="A45" s="314" t="s">
        <v>166</v>
      </c>
      <c r="B45" s="315"/>
      <c r="C45" s="315"/>
      <c r="D45" s="315"/>
      <c r="E45" s="86"/>
      <c r="F45" s="70"/>
      <c r="G45" s="16"/>
      <c r="H45" s="16"/>
      <c r="I45" s="70"/>
      <c r="J45" s="21"/>
      <c r="K45" s="21"/>
      <c r="L45" s="21"/>
      <c r="M45" s="21"/>
      <c r="N45" s="21"/>
      <c r="O45" s="36"/>
    </row>
    <row r="46" spans="1:15" ht="15.75" customHeight="1" thickBot="1">
      <c r="A46" s="312" t="s">
        <v>174</v>
      </c>
      <c r="B46" s="313"/>
      <c r="C46" s="313"/>
      <c r="D46" s="313"/>
      <c r="E46" s="86"/>
      <c r="F46" s="70"/>
      <c r="G46" s="16"/>
      <c r="H46" s="16"/>
      <c r="I46" s="70"/>
      <c r="J46" s="21"/>
      <c r="K46" s="21"/>
      <c r="L46" s="21"/>
      <c r="M46" s="21"/>
      <c r="N46" s="21"/>
      <c r="O46" s="36"/>
    </row>
    <row r="47" spans="1:15" ht="12.75">
      <c r="A47" s="70" t="s">
        <v>308</v>
      </c>
      <c r="B47" s="78" t="s">
        <v>85</v>
      </c>
      <c r="C47" s="70" t="s">
        <v>33</v>
      </c>
      <c r="D47" s="70">
        <f>D53</f>
        <v>337.3</v>
      </c>
      <c r="E47" s="183"/>
      <c r="F47" s="21"/>
      <c r="G47" s="185"/>
      <c r="H47" s="195"/>
      <c r="I47" s="21"/>
      <c r="J47" s="21"/>
      <c r="K47" s="202"/>
      <c r="L47" s="21"/>
      <c r="M47" s="21"/>
      <c r="N47" s="21"/>
      <c r="O47" s="21"/>
    </row>
    <row r="48" spans="1:15" ht="25.5">
      <c r="A48" s="70" t="s">
        <v>309</v>
      </c>
      <c r="B48" s="81" t="s">
        <v>687</v>
      </c>
      <c r="C48" s="70" t="s">
        <v>79</v>
      </c>
      <c r="D48" s="70">
        <f>ROUND((D51*0.41+D52*0.5+D53*0.65),1)</f>
        <v>245</v>
      </c>
      <c r="E48" s="185"/>
      <c r="F48" s="21"/>
      <c r="G48" s="185"/>
      <c r="H48" s="185"/>
      <c r="I48" s="185"/>
      <c r="J48" s="21"/>
      <c r="K48" s="202"/>
      <c r="L48" s="21"/>
      <c r="M48" s="21"/>
      <c r="N48" s="21"/>
      <c r="O48" s="21"/>
    </row>
    <row r="49" spans="1:15" ht="25.5">
      <c r="A49" s="70" t="s">
        <v>310</v>
      </c>
      <c r="B49" s="85" t="s">
        <v>688</v>
      </c>
      <c r="C49" s="25" t="s">
        <v>12</v>
      </c>
      <c r="D49" s="25">
        <f>ROUND((D51*0.0615+D52*0.075+D53*0.065),1)</f>
        <v>25.8</v>
      </c>
      <c r="E49" s="184"/>
      <c r="F49" s="20"/>
      <c r="G49" s="184"/>
      <c r="H49" s="184"/>
      <c r="I49" s="21"/>
      <c r="J49" s="20"/>
      <c r="K49" s="20"/>
      <c r="L49" s="20"/>
      <c r="M49" s="20"/>
      <c r="N49" s="20"/>
      <c r="O49" s="20"/>
    </row>
    <row r="50" spans="1:15" ht="12.75">
      <c r="A50" s="70" t="s">
        <v>311</v>
      </c>
      <c r="B50" s="89" t="s">
        <v>15</v>
      </c>
      <c r="C50" s="70" t="s">
        <v>33</v>
      </c>
      <c r="D50" s="70">
        <f>SUM(D51:D53)</f>
        <v>397.90000000000003</v>
      </c>
      <c r="E50" s="185"/>
      <c r="F50" s="21"/>
      <c r="G50" s="185"/>
      <c r="H50" s="185"/>
      <c r="I50" s="185"/>
      <c r="J50" s="21"/>
      <c r="K50" s="202"/>
      <c r="L50" s="21"/>
      <c r="M50" s="21"/>
      <c r="N50" s="21"/>
      <c r="O50" s="21"/>
    </row>
    <row r="51" spans="1:15" ht="12.75">
      <c r="A51" s="70" t="s">
        <v>312</v>
      </c>
      <c r="B51" s="90" t="s">
        <v>170</v>
      </c>
      <c r="C51" s="25" t="s">
        <v>33</v>
      </c>
      <c r="D51" s="70">
        <v>51</v>
      </c>
      <c r="E51" s="184"/>
      <c r="F51" s="20"/>
      <c r="G51" s="184"/>
      <c r="H51" s="184"/>
      <c r="I51" s="21"/>
      <c r="J51" s="20"/>
      <c r="K51" s="20"/>
      <c r="L51" s="20"/>
      <c r="M51" s="20"/>
      <c r="N51" s="20"/>
      <c r="O51" s="20"/>
    </row>
    <row r="52" spans="1:15" ht="12.75">
      <c r="A52" s="70" t="s">
        <v>313</v>
      </c>
      <c r="B52" s="90" t="s">
        <v>192</v>
      </c>
      <c r="C52" s="25"/>
      <c r="D52" s="70">
        <v>9.6</v>
      </c>
      <c r="E52" s="184"/>
      <c r="F52" s="20"/>
      <c r="G52" s="196"/>
      <c r="H52" s="184"/>
      <c r="I52" s="21"/>
      <c r="J52" s="20"/>
      <c r="K52" s="20"/>
      <c r="L52" s="20"/>
      <c r="M52" s="20"/>
      <c r="N52" s="20"/>
      <c r="O52" s="38"/>
    </row>
    <row r="53" spans="1:15" ht="12.75">
      <c r="A53" s="70" t="s">
        <v>314</v>
      </c>
      <c r="B53" s="90" t="s">
        <v>169</v>
      </c>
      <c r="C53" s="25" t="s">
        <v>33</v>
      </c>
      <c r="D53" s="70">
        <v>337.3</v>
      </c>
      <c r="E53" s="184"/>
      <c r="F53" s="20"/>
      <c r="G53" s="184"/>
      <c r="H53" s="184"/>
      <c r="I53" s="21"/>
      <c r="J53" s="20"/>
      <c r="K53" s="20"/>
      <c r="L53" s="20"/>
      <c r="M53" s="20"/>
      <c r="N53" s="20"/>
      <c r="O53" s="20"/>
    </row>
    <row r="54" spans="1:15" ht="25.5">
      <c r="A54" s="70" t="s">
        <v>315</v>
      </c>
      <c r="B54" s="85" t="s">
        <v>691</v>
      </c>
      <c r="C54" s="88" t="s">
        <v>42</v>
      </c>
      <c r="D54" s="105">
        <f>D53</f>
        <v>337.3</v>
      </c>
      <c r="E54" s="184"/>
      <c r="F54" s="20"/>
      <c r="G54" s="184"/>
      <c r="H54" s="184"/>
      <c r="I54" s="21"/>
      <c r="J54" s="20"/>
      <c r="K54" s="20"/>
      <c r="L54" s="20"/>
      <c r="M54" s="20"/>
      <c r="N54" s="20"/>
      <c r="O54" s="20"/>
    </row>
    <row r="55" spans="1:15" ht="38.25">
      <c r="A55" s="70" t="s">
        <v>316</v>
      </c>
      <c r="B55" s="4" t="s">
        <v>193</v>
      </c>
      <c r="C55" s="70" t="s">
        <v>16</v>
      </c>
      <c r="D55" s="70">
        <v>18</v>
      </c>
      <c r="E55" s="185"/>
      <c r="F55" s="21"/>
      <c r="G55" s="185"/>
      <c r="H55" s="183"/>
      <c r="I55" s="21"/>
      <c r="J55" s="21"/>
      <c r="K55" s="202"/>
      <c r="L55" s="21"/>
      <c r="M55" s="21"/>
      <c r="N55" s="21"/>
      <c r="O55" s="21"/>
    </row>
    <row r="56" spans="1:15" ht="38.25">
      <c r="A56" s="70" t="s">
        <v>317</v>
      </c>
      <c r="B56" s="7" t="s">
        <v>213</v>
      </c>
      <c r="C56" s="9" t="s">
        <v>32</v>
      </c>
      <c r="D56" s="25">
        <f>D55</f>
        <v>18</v>
      </c>
      <c r="E56" s="184"/>
      <c r="F56" s="20"/>
      <c r="G56" s="184"/>
      <c r="H56" s="184"/>
      <c r="I56" s="21"/>
      <c r="J56" s="20"/>
      <c r="K56" s="20"/>
      <c r="L56" s="20"/>
      <c r="M56" s="20"/>
      <c r="N56" s="20"/>
      <c r="O56" s="20"/>
    </row>
    <row r="57" spans="1:15" ht="25.5">
      <c r="A57" s="70" t="s">
        <v>318</v>
      </c>
      <c r="B57" s="81" t="s">
        <v>690</v>
      </c>
      <c r="C57" s="70" t="s">
        <v>79</v>
      </c>
      <c r="D57" s="70">
        <f>D48</f>
        <v>245</v>
      </c>
      <c r="E57" s="185"/>
      <c r="F57" s="21"/>
      <c r="G57" s="185"/>
      <c r="H57" s="185"/>
      <c r="I57" s="185"/>
      <c r="J57" s="21"/>
      <c r="K57" s="202"/>
      <c r="L57" s="21"/>
      <c r="M57" s="21"/>
      <c r="N57" s="21"/>
      <c r="O57" s="21"/>
    </row>
    <row r="58" spans="1:15" ht="25.5">
      <c r="A58" s="70" t="s">
        <v>319</v>
      </c>
      <c r="B58" s="85" t="s">
        <v>689</v>
      </c>
      <c r="C58" s="88" t="s">
        <v>12</v>
      </c>
      <c r="D58" s="105">
        <f>ROUND((D51*0.12+D52*0.18+D53*0.2434),1)</f>
        <v>89.9</v>
      </c>
      <c r="E58" s="184"/>
      <c r="F58" s="20"/>
      <c r="G58" s="196"/>
      <c r="H58" s="196"/>
      <c r="I58" s="196"/>
      <c r="J58" s="20"/>
      <c r="K58" s="20"/>
      <c r="L58" s="20"/>
      <c r="M58" s="20"/>
      <c r="N58" s="20"/>
      <c r="O58" s="38"/>
    </row>
    <row r="59" spans="1:15" ht="12.75">
      <c r="A59" s="70" t="s">
        <v>320</v>
      </c>
      <c r="B59" s="89" t="s">
        <v>86</v>
      </c>
      <c r="C59" s="70" t="s">
        <v>33</v>
      </c>
      <c r="D59" s="70">
        <f>D47</f>
        <v>337.3</v>
      </c>
      <c r="E59" s="185"/>
      <c r="F59" s="21"/>
      <c r="G59" s="185"/>
      <c r="H59" s="183"/>
      <c r="I59" s="21"/>
      <c r="J59" s="21"/>
      <c r="K59" s="202"/>
      <c r="L59" s="21"/>
      <c r="M59" s="21"/>
      <c r="N59" s="21"/>
      <c r="O59" s="36"/>
    </row>
    <row r="60" spans="1:15" ht="12.75">
      <c r="A60" s="70" t="s">
        <v>321</v>
      </c>
      <c r="B60" s="90" t="s">
        <v>17</v>
      </c>
      <c r="C60" s="25" t="s">
        <v>33</v>
      </c>
      <c r="D60" s="25">
        <f>D59</f>
        <v>337.3</v>
      </c>
      <c r="E60" s="184"/>
      <c r="F60" s="20"/>
      <c r="G60" s="196"/>
      <c r="H60" s="196"/>
      <c r="I60" s="21"/>
      <c r="J60" s="20"/>
      <c r="K60" s="20"/>
      <c r="L60" s="20"/>
      <c r="M60" s="20"/>
      <c r="N60" s="20"/>
      <c r="O60" s="38"/>
    </row>
    <row r="61" spans="1:15" ht="27">
      <c r="A61" s="70" t="s">
        <v>322</v>
      </c>
      <c r="B61" s="81" t="s">
        <v>0</v>
      </c>
      <c r="C61" s="111" t="s">
        <v>41</v>
      </c>
      <c r="D61" s="70">
        <v>1</v>
      </c>
      <c r="E61" s="183"/>
      <c r="F61" s="21"/>
      <c r="G61" s="185"/>
      <c r="H61" s="183"/>
      <c r="I61" s="21"/>
      <c r="J61" s="21"/>
      <c r="K61" s="202"/>
      <c r="L61" s="21"/>
      <c r="M61" s="21"/>
      <c r="N61" s="21"/>
      <c r="O61" s="36"/>
    </row>
    <row r="62" spans="1:15" ht="14.25">
      <c r="A62" s="70" t="s">
        <v>323</v>
      </c>
      <c r="B62" s="7" t="s">
        <v>1</v>
      </c>
      <c r="C62" s="25" t="s">
        <v>12</v>
      </c>
      <c r="D62" s="23">
        <v>0.3</v>
      </c>
      <c r="E62" s="196"/>
      <c r="F62" s="20"/>
      <c r="G62" s="196"/>
      <c r="H62" s="196"/>
      <c r="I62" s="21"/>
      <c r="J62" s="20"/>
      <c r="K62" s="20"/>
      <c r="L62" s="20"/>
      <c r="M62" s="20"/>
      <c r="N62" s="20"/>
      <c r="O62" s="38"/>
    </row>
    <row r="63" spans="1:15" ht="14.25">
      <c r="A63" s="70" t="s">
        <v>324</v>
      </c>
      <c r="B63" s="114" t="s">
        <v>2</v>
      </c>
      <c r="C63" s="98" t="s">
        <v>12</v>
      </c>
      <c r="D63" s="128">
        <v>0.2</v>
      </c>
      <c r="E63" s="196"/>
      <c r="F63" s="20"/>
      <c r="G63" s="196"/>
      <c r="H63" s="196"/>
      <c r="I63" s="21"/>
      <c r="J63" s="20"/>
      <c r="K63" s="20"/>
      <c r="L63" s="20"/>
      <c r="M63" s="20"/>
      <c r="N63" s="20"/>
      <c r="O63" s="38"/>
    </row>
    <row r="64" spans="1:15" s="240" customFormat="1" ht="12.75">
      <c r="A64" s="70" t="s">
        <v>325</v>
      </c>
      <c r="B64" s="78" t="s">
        <v>739</v>
      </c>
      <c r="C64" s="79" t="s">
        <v>16</v>
      </c>
      <c r="D64" s="70">
        <v>1</v>
      </c>
      <c r="E64" s="245"/>
      <c r="F64" s="21"/>
      <c r="G64" s="185"/>
      <c r="H64" s="185"/>
      <c r="I64" s="185"/>
      <c r="J64" s="193"/>
      <c r="K64" s="202"/>
      <c r="L64" s="21"/>
      <c r="M64" s="21"/>
      <c r="N64" s="21"/>
      <c r="O64" s="21"/>
    </row>
    <row r="65" spans="1:15" s="240" customFormat="1" ht="13.5" thickBot="1">
      <c r="A65" s="70" t="s">
        <v>326</v>
      </c>
      <c r="B65" s="241" t="s">
        <v>740</v>
      </c>
      <c r="C65" s="242" t="s">
        <v>16</v>
      </c>
      <c r="D65" s="243">
        <v>1</v>
      </c>
      <c r="E65" s="184"/>
      <c r="F65" s="20"/>
      <c r="G65" s="184"/>
      <c r="H65" s="184"/>
      <c r="I65" s="185"/>
      <c r="J65" s="20"/>
      <c r="K65" s="20"/>
      <c r="L65" s="20"/>
      <c r="M65" s="20"/>
      <c r="N65" s="20"/>
      <c r="O65" s="20"/>
    </row>
    <row r="66" spans="1:15" ht="15" customHeight="1" thickBot="1">
      <c r="A66" s="312" t="s">
        <v>202</v>
      </c>
      <c r="B66" s="313"/>
      <c r="C66" s="313"/>
      <c r="D66" s="313"/>
      <c r="E66" s="86"/>
      <c r="F66" s="70"/>
      <c r="G66" s="16"/>
      <c r="H66" s="16"/>
      <c r="I66" s="70"/>
      <c r="J66" s="21"/>
      <c r="K66" s="21"/>
      <c r="L66" s="21"/>
      <c r="M66" s="21"/>
      <c r="N66" s="21"/>
      <c r="O66" s="36"/>
    </row>
    <row r="67" spans="1:15" ht="38.25">
      <c r="A67" s="75" t="s">
        <v>327</v>
      </c>
      <c r="B67" s="96" t="s">
        <v>189</v>
      </c>
      <c r="C67" s="75" t="s">
        <v>16</v>
      </c>
      <c r="D67" s="75">
        <f>SUM(D68:D71)</f>
        <v>14</v>
      </c>
      <c r="E67" s="185"/>
      <c r="F67" s="21"/>
      <c r="G67" s="185"/>
      <c r="H67" s="185"/>
      <c r="I67" s="21"/>
      <c r="J67" s="21"/>
      <c r="K67" s="202"/>
      <c r="L67" s="21"/>
      <c r="M67" s="21"/>
      <c r="N67" s="21"/>
      <c r="O67" s="36"/>
    </row>
    <row r="68" spans="1:15" ht="25.5">
      <c r="A68" s="75" t="s">
        <v>328</v>
      </c>
      <c r="B68" s="93" t="s">
        <v>665</v>
      </c>
      <c r="C68" s="25" t="s">
        <v>32</v>
      </c>
      <c r="D68" s="25">
        <v>2</v>
      </c>
      <c r="E68" s="184"/>
      <c r="F68" s="20"/>
      <c r="G68" s="184"/>
      <c r="H68" s="184"/>
      <c r="I68" s="21"/>
      <c r="J68" s="20"/>
      <c r="K68" s="20"/>
      <c r="L68" s="20"/>
      <c r="M68" s="20"/>
      <c r="N68" s="20"/>
      <c r="O68" s="20"/>
    </row>
    <row r="69" spans="1:15" ht="25.5">
      <c r="A69" s="75" t="s">
        <v>329</v>
      </c>
      <c r="B69" s="93" t="s">
        <v>666</v>
      </c>
      <c r="C69" s="25" t="s">
        <v>32</v>
      </c>
      <c r="D69" s="25">
        <v>9</v>
      </c>
      <c r="E69" s="184"/>
      <c r="F69" s="20"/>
      <c r="G69" s="184"/>
      <c r="H69" s="97"/>
      <c r="I69" s="21"/>
      <c r="J69" s="20"/>
      <c r="K69" s="20"/>
      <c r="L69" s="20"/>
      <c r="M69" s="20"/>
      <c r="N69" s="20"/>
      <c r="O69" s="20"/>
    </row>
    <row r="70" spans="1:15" ht="25.5">
      <c r="A70" s="75" t="s">
        <v>330</v>
      </c>
      <c r="B70" s="93" t="s">
        <v>667</v>
      </c>
      <c r="C70" s="25" t="s">
        <v>32</v>
      </c>
      <c r="D70" s="25">
        <v>2</v>
      </c>
      <c r="E70" s="184"/>
      <c r="F70" s="20"/>
      <c r="G70" s="184"/>
      <c r="H70" s="97"/>
      <c r="I70" s="21"/>
      <c r="J70" s="20"/>
      <c r="K70" s="20"/>
      <c r="L70" s="20"/>
      <c r="M70" s="20"/>
      <c r="N70" s="20"/>
      <c r="O70" s="20"/>
    </row>
    <row r="71" spans="1:15" ht="25.5">
      <c r="A71" s="75" t="s">
        <v>331</v>
      </c>
      <c r="B71" s="93" t="s">
        <v>668</v>
      </c>
      <c r="C71" s="25" t="s">
        <v>32</v>
      </c>
      <c r="D71" s="111">
        <v>1</v>
      </c>
      <c r="E71" s="184"/>
      <c r="F71" s="20"/>
      <c r="G71" s="184"/>
      <c r="H71" s="97"/>
      <c r="I71" s="21"/>
      <c r="J71" s="20"/>
      <c r="K71" s="20"/>
      <c r="L71" s="20"/>
      <c r="M71" s="20"/>
      <c r="N71" s="20"/>
      <c r="O71" s="20"/>
    </row>
    <row r="72" spans="1:15" ht="51">
      <c r="A72" s="75" t="s">
        <v>332</v>
      </c>
      <c r="B72" s="93" t="s">
        <v>692</v>
      </c>
      <c r="C72" s="25" t="s">
        <v>32</v>
      </c>
      <c r="D72" s="25">
        <v>1</v>
      </c>
      <c r="E72" s="185"/>
      <c r="F72" s="21"/>
      <c r="G72" s="185"/>
      <c r="H72" s="97"/>
      <c r="I72" s="21"/>
      <c r="J72" s="20"/>
      <c r="K72" s="20"/>
      <c r="L72" s="20"/>
      <c r="M72" s="20"/>
      <c r="N72" s="20"/>
      <c r="O72" s="20"/>
    </row>
    <row r="73" spans="1:15" ht="63.75">
      <c r="A73" s="75" t="s">
        <v>333</v>
      </c>
      <c r="B73" s="81" t="s">
        <v>184</v>
      </c>
      <c r="C73" s="70" t="s">
        <v>16</v>
      </c>
      <c r="D73" s="70">
        <v>1</v>
      </c>
      <c r="E73" s="185"/>
      <c r="F73" s="21"/>
      <c r="G73" s="185"/>
      <c r="H73" s="185"/>
      <c r="I73" s="21"/>
      <c r="J73" s="21"/>
      <c r="K73" s="21"/>
      <c r="L73" s="21"/>
      <c r="M73" s="21"/>
      <c r="N73" s="21"/>
      <c r="O73" s="21"/>
    </row>
    <row r="74" spans="1:15" ht="25.5">
      <c r="A74" s="75" t="s">
        <v>334</v>
      </c>
      <c r="B74" s="93" t="s">
        <v>669</v>
      </c>
      <c r="C74" s="25" t="s">
        <v>32</v>
      </c>
      <c r="D74" s="25">
        <v>1</v>
      </c>
      <c r="E74" s="185"/>
      <c r="F74" s="21"/>
      <c r="G74" s="185"/>
      <c r="H74" s="97"/>
      <c r="I74" s="21"/>
      <c r="J74" s="21"/>
      <c r="K74" s="21"/>
      <c r="L74" s="21"/>
      <c r="M74" s="21"/>
      <c r="N74" s="21"/>
      <c r="O74" s="21"/>
    </row>
    <row r="75" spans="1:15" ht="12.75">
      <c r="A75" s="75" t="s">
        <v>335</v>
      </c>
      <c r="B75" s="93" t="s">
        <v>5</v>
      </c>
      <c r="C75" s="95" t="s">
        <v>16</v>
      </c>
      <c r="D75" s="25">
        <v>2</v>
      </c>
      <c r="E75" s="184"/>
      <c r="F75" s="20"/>
      <c r="G75" s="184"/>
      <c r="H75" s="97"/>
      <c r="I75" s="21"/>
      <c r="J75" s="20"/>
      <c r="K75" s="20"/>
      <c r="L75" s="20"/>
      <c r="M75" s="20"/>
      <c r="N75" s="20"/>
      <c r="O75" s="20"/>
    </row>
    <row r="76" spans="1:15" ht="38.25">
      <c r="A76" s="75" t="s">
        <v>336</v>
      </c>
      <c r="B76" s="81" t="s">
        <v>670</v>
      </c>
      <c r="C76" s="70" t="s">
        <v>16</v>
      </c>
      <c r="D76" s="70">
        <v>4</v>
      </c>
      <c r="E76" s="185"/>
      <c r="F76" s="21"/>
      <c r="G76" s="185"/>
      <c r="H76" s="185"/>
      <c r="I76" s="21"/>
      <c r="J76" s="21"/>
      <c r="K76" s="202"/>
      <c r="L76" s="21"/>
      <c r="M76" s="21"/>
      <c r="N76" s="21"/>
      <c r="O76" s="36"/>
    </row>
    <row r="77" spans="1:15" ht="25.5">
      <c r="A77" s="75" t="s">
        <v>337</v>
      </c>
      <c r="B77" s="93" t="s">
        <v>671</v>
      </c>
      <c r="C77" s="25" t="s">
        <v>672</v>
      </c>
      <c r="D77" s="105">
        <v>4</v>
      </c>
      <c r="E77" s="184"/>
      <c r="F77" s="20"/>
      <c r="G77" s="184"/>
      <c r="H77" s="97"/>
      <c r="I77" s="21"/>
      <c r="J77" s="20"/>
      <c r="K77" s="20"/>
      <c r="L77" s="20"/>
      <c r="M77" s="20"/>
      <c r="N77" s="20"/>
      <c r="O77" s="20"/>
    </row>
    <row r="78" spans="1:15" ht="12.75">
      <c r="A78" s="75" t="s">
        <v>338</v>
      </c>
      <c r="B78" s="93" t="s">
        <v>185</v>
      </c>
      <c r="C78" s="25" t="s">
        <v>16</v>
      </c>
      <c r="D78" s="105">
        <v>4</v>
      </c>
      <c r="E78" s="184"/>
      <c r="F78" s="20"/>
      <c r="G78" s="184"/>
      <c r="H78" s="97"/>
      <c r="I78" s="21"/>
      <c r="J78" s="20"/>
      <c r="K78" s="20"/>
      <c r="L78" s="20"/>
      <c r="M78" s="20"/>
      <c r="N78" s="20"/>
      <c r="O78" s="20"/>
    </row>
    <row r="79" spans="1:15" ht="14.25">
      <c r="A79" s="75" t="s">
        <v>339</v>
      </c>
      <c r="B79" s="7" t="s">
        <v>1</v>
      </c>
      <c r="C79" s="98" t="s">
        <v>12</v>
      </c>
      <c r="D79" s="105">
        <f>ROUND(D76*0.13,1)</f>
        <v>0.5</v>
      </c>
      <c r="E79" s="196"/>
      <c r="F79" s="20"/>
      <c r="G79" s="196"/>
      <c r="H79" s="196"/>
      <c r="I79" s="21"/>
      <c r="J79" s="20"/>
      <c r="K79" s="20"/>
      <c r="L79" s="20"/>
      <c r="M79" s="20"/>
      <c r="N79" s="20"/>
      <c r="O79" s="38"/>
    </row>
    <row r="80" spans="1:15" ht="15" thickBot="1">
      <c r="A80" s="75" t="s">
        <v>340</v>
      </c>
      <c r="B80" s="113" t="s">
        <v>2</v>
      </c>
      <c r="C80" s="25" t="s">
        <v>12</v>
      </c>
      <c r="D80" s="105">
        <f>ROUND(D76*0.14,1)</f>
        <v>0.6</v>
      </c>
      <c r="E80" s="196"/>
      <c r="F80" s="20"/>
      <c r="G80" s="196"/>
      <c r="H80" s="196"/>
      <c r="I80" s="21"/>
      <c r="J80" s="20"/>
      <c r="K80" s="20"/>
      <c r="L80" s="20"/>
      <c r="M80" s="20"/>
      <c r="N80" s="20"/>
      <c r="O80" s="38"/>
    </row>
    <row r="81" spans="1:15" ht="15.75" thickBot="1">
      <c r="A81" s="334" t="s">
        <v>149</v>
      </c>
      <c r="B81" s="335"/>
      <c r="C81" s="335"/>
      <c r="D81" s="335"/>
      <c r="E81" s="86"/>
      <c r="F81" s="70"/>
      <c r="G81" s="16"/>
      <c r="H81" s="16"/>
      <c r="I81" s="70"/>
      <c r="J81" s="21"/>
      <c r="K81" s="21"/>
      <c r="L81" s="21"/>
      <c r="M81" s="21"/>
      <c r="N81" s="21"/>
      <c r="O81" s="36"/>
    </row>
    <row r="82" spans="1:15" ht="12.75">
      <c r="A82" s="70" t="s">
        <v>341</v>
      </c>
      <c r="B82" s="81" t="s">
        <v>203</v>
      </c>
      <c r="C82" s="70" t="s">
        <v>33</v>
      </c>
      <c r="D82" s="124">
        <f>D47</f>
        <v>337.3</v>
      </c>
      <c r="E82" s="185"/>
      <c r="F82" s="21"/>
      <c r="G82" s="185"/>
      <c r="H82" s="185"/>
      <c r="I82" s="21"/>
      <c r="J82" s="21"/>
      <c r="K82" s="202"/>
      <c r="L82" s="21"/>
      <c r="M82" s="21"/>
      <c r="N82" s="21"/>
      <c r="O82" s="36"/>
    </row>
    <row r="83" spans="1:15" ht="26.25" thickBot="1">
      <c r="A83" s="70" t="s">
        <v>342</v>
      </c>
      <c r="B83" s="81" t="s">
        <v>4</v>
      </c>
      <c r="C83" s="70" t="s">
        <v>16</v>
      </c>
      <c r="D83" s="124">
        <v>1</v>
      </c>
      <c r="E83" s="87"/>
      <c r="F83" s="70"/>
      <c r="G83" s="16"/>
      <c r="H83" s="16"/>
      <c r="I83" s="21"/>
      <c r="J83" s="21"/>
      <c r="K83" s="202"/>
      <c r="L83" s="21"/>
      <c r="M83" s="21"/>
      <c r="N83" s="21"/>
      <c r="O83" s="36"/>
    </row>
    <row r="84" spans="1:15" ht="15.75" thickBot="1">
      <c r="A84" s="332" t="s">
        <v>101</v>
      </c>
      <c r="B84" s="333"/>
      <c r="C84" s="333"/>
      <c r="D84" s="100"/>
      <c r="E84" s="87"/>
      <c r="F84" s="70"/>
      <c r="G84" s="16"/>
      <c r="H84" s="16"/>
      <c r="I84" s="16"/>
      <c r="J84" s="21"/>
      <c r="K84" s="33"/>
      <c r="L84" s="33"/>
      <c r="M84" s="33"/>
      <c r="N84" s="33"/>
      <c r="O84" s="37"/>
    </row>
    <row r="85" spans="1:15" ht="14.25">
      <c r="A85" s="70" t="s">
        <v>343</v>
      </c>
      <c r="B85" s="96" t="s">
        <v>81</v>
      </c>
      <c r="C85" s="75" t="s">
        <v>661</v>
      </c>
      <c r="D85" s="127">
        <f>(327*1.2-22*0.6)/100</f>
        <v>3.792</v>
      </c>
      <c r="E85" s="185"/>
      <c r="F85" s="21"/>
      <c r="G85" s="185"/>
      <c r="H85" s="185"/>
      <c r="I85" s="21"/>
      <c r="J85" s="21"/>
      <c r="K85" s="202"/>
      <c r="L85" s="21"/>
      <c r="M85" s="21"/>
      <c r="N85" s="21"/>
      <c r="O85" s="21"/>
    </row>
    <row r="86" spans="1:15" ht="14.25">
      <c r="A86" s="70" t="s">
        <v>723</v>
      </c>
      <c r="B86" s="85" t="s">
        <v>88</v>
      </c>
      <c r="C86" s="25" t="s">
        <v>12</v>
      </c>
      <c r="D86" s="25">
        <f>ROUND(100*(D85*0.28),1)</f>
        <v>106.2</v>
      </c>
      <c r="E86" s="21"/>
      <c r="F86" s="21"/>
      <c r="G86" s="21"/>
      <c r="H86" s="184"/>
      <c r="I86" s="21"/>
      <c r="J86" s="20"/>
      <c r="K86" s="20"/>
      <c r="L86" s="20"/>
      <c r="M86" s="20"/>
      <c r="N86" s="20"/>
      <c r="O86" s="20"/>
    </row>
    <row r="87" spans="1:15" ht="14.25">
      <c r="A87" s="70" t="s">
        <v>724</v>
      </c>
      <c r="B87" s="85" t="s">
        <v>89</v>
      </c>
      <c r="C87" s="25" t="s">
        <v>12</v>
      </c>
      <c r="D87" s="25">
        <f>ROUND(100*(D85*0.3),1)</f>
        <v>113.8</v>
      </c>
      <c r="E87" s="21"/>
      <c r="F87" s="21"/>
      <c r="G87" s="21"/>
      <c r="H87" s="184"/>
      <c r="I87" s="21"/>
      <c r="J87" s="20"/>
      <c r="K87" s="20"/>
      <c r="L87" s="20"/>
      <c r="M87" s="20"/>
      <c r="N87" s="20"/>
      <c r="O87" s="20"/>
    </row>
    <row r="88" spans="1:15" ht="14.25">
      <c r="A88" s="70" t="s">
        <v>725</v>
      </c>
      <c r="B88" s="81" t="s">
        <v>82</v>
      </c>
      <c r="C88" s="75" t="s">
        <v>661</v>
      </c>
      <c r="D88" s="70">
        <f>D21</f>
        <v>0.78</v>
      </c>
      <c r="E88" s="185"/>
      <c r="F88" s="21"/>
      <c r="G88" s="185"/>
      <c r="H88" s="185"/>
      <c r="I88" s="185"/>
      <c r="J88" s="21"/>
      <c r="K88" s="202"/>
      <c r="L88" s="21"/>
      <c r="M88" s="21"/>
      <c r="N88" s="21"/>
      <c r="O88" s="21"/>
    </row>
    <row r="89" spans="1:15" ht="14.25">
      <c r="A89" s="70" t="s">
        <v>745</v>
      </c>
      <c r="B89" s="85" t="s">
        <v>90</v>
      </c>
      <c r="C89" s="25" t="s">
        <v>12</v>
      </c>
      <c r="D89" s="98">
        <f>D88*0.15*100</f>
        <v>11.7</v>
      </c>
      <c r="E89" s="201"/>
      <c r="F89" s="186"/>
      <c r="G89" s="186"/>
      <c r="H89" s="187"/>
      <c r="I89" s="21"/>
      <c r="J89" s="20"/>
      <c r="K89" s="20"/>
      <c r="L89" s="20"/>
      <c r="M89" s="20"/>
      <c r="N89" s="20"/>
      <c r="O89" s="20"/>
    </row>
    <row r="90" spans="1:15" ht="12.75">
      <c r="A90" s="70" t="s">
        <v>746</v>
      </c>
      <c r="B90" s="85" t="s">
        <v>190</v>
      </c>
      <c r="C90" s="25" t="s">
        <v>40</v>
      </c>
      <c r="D90" s="25">
        <f>ROUND(100*(D88*0.03),1)</f>
        <v>2.3</v>
      </c>
      <c r="E90" s="201"/>
      <c r="F90" s="186"/>
      <c r="G90" s="186"/>
      <c r="H90" s="187"/>
      <c r="I90" s="21"/>
      <c r="J90" s="20"/>
      <c r="K90" s="20"/>
      <c r="L90" s="20"/>
      <c r="M90" s="20"/>
      <c r="N90" s="20"/>
      <c r="O90" s="20"/>
    </row>
    <row r="91" spans="1:15" ht="15.75" thickBot="1">
      <c r="A91" s="181"/>
      <c r="B91" s="169"/>
      <c r="C91" s="189"/>
      <c r="D91" s="189"/>
      <c r="E91" s="170"/>
      <c r="F91" s="190"/>
      <c r="G91" s="190"/>
      <c r="H91" s="170"/>
      <c r="I91" s="190"/>
      <c r="J91" s="190"/>
      <c r="K91" s="190"/>
      <c r="L91" s="190"/>
      <c r="M91" s="190"/>
      <c r="N91" s="190"/>
      <c r="O91" s="190"/>
    </row>
    <row r="92" spans="1:15" ht="13.5" thickTop="1">
      <c r="A92" s="173"/>
      <c r="B92" s="96" t="s">
        <v>654</v>
      </c>
      <c r="C92" s="174"/>
      <c r="D92" s="175"/>
      <c r="E92" s="176"/>
      <c r="F92" s="176"/>
      <c r="G92" s="176"/>
      <c r="H92" s="176"/>
      <c r="I92" s="176"/>
      <c r="J92" s="177"/>
      <c r="K92" s="178"/>
      <c r="L92" s="178"/>
      <c r="M92" s="178"/>
      <c r="N92" s="178"/>
      <c r="O92" s="178"/>
    </row>
    <row r="93" spans="1:15" ht="12.75">
      <c r="A93" s="47"/>
      <c r="B93" s="171" t="s">
        <v>662</v>
      </c>
      <c r="C93" s="191"/>
      <c r="D93" s="17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</row>
    <row r="94" spans="1:15" ht="12.75">
      <c r="A94" s="46" t="s">
        <v>34</v>
      </c>
      <c r="B94" s="188" t="s">
        <v>654</v>
      </c>
      <c r="C94" s="191"/>
      <c r="D94" s="172"/>
      <c r="E94" s="182"/>
      <c r="F94" s="182"/>
      <c r="G94" s="182"/>
      <c r="H94" s="182"/>
      <c r="I94" s="182"/>
      <c r="J94" s="182"/>
      <c r="K94" s="195"/>
      <c r="L94" s="195"/>
      <c r="M94" s="195"/>
      <c r="N94" s="195"/>
      <c r="O94" s="195"/>
    </row>
    <row r="95" spans="1:15" ht="12.75">
      <c r="A95" s="48" t="s">
        <v>35</v>
      </c>
      <c r="B95" s="12"/>
      <c r="C95" s="63"/>
      <c r="D95" s="65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1:15" ht="12.75">
      <c r="A96" s="48" t="s">
        <v>18</v>
      </c>
      <c r="B96" s="66"/>
      <c r="C96" s="66"/>
      <c r="D96" s="65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</row>
    <row r="97" spans="1:15" ht="12.75">
      <c r="A97" s="48" t="s">
        <v>19</v>
      </c>
      <c r="B97" s="66"/>
      <c r="C97" s="66"/>
      <c r="D97" s="65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</row>
    <row r="98" spans="1:15" ht="12.75">
      <c r="A98" s="48" t="s">
        <v>36</v>
      </c>
      <c r="B98" s="66"/>
      <c r="C98" s="66"/>
      <c r="D98" s="65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</row>
    <row r="99" spans="1:15" ht="12.75">
      <c r="A99" s="48" t="s">
        <v>37</v>
      </c>
      <c r="B99" s="66"/>
      <c r="C99" s="66"/>
      <c r="D99" s="65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</row>
    <row r="100" spans="1:15" ht="12.75">
      <c r="A100" s="48" t="s">
        <v>38</v>
      </c>
      <c r="B100" s="66"/>
      <c r="C100" s="66"/>
      <c r="D100" s="65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</row>
    <row r="101" spans="1:15" ht="12.75">
      <c r="A101" s="48" t="s">
        <v>39</v>
      </c>
      <c r="B101" s="66"/>
      <c r="C101" s="66"/>
      <c r="D101" s="65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</row>
    <row r="102" spans="1:4" ht="12.75">
      <c r="A102" s="11" t="s">
        <v>20</v>
      </c>
      <c r="B102" s="67"/>
      <c r="C102" s="67"/>
      <c r="D102" s="68"/>
    </row>
    <row r="103" spans="2:4" ht="12.75">
      <c r="B103" s="67"/>
      <c r="C103" s="67"/>
      <c r="D103" s="67"/>
    </row>
    <row r="104" spans="1:4" ht="12.75">
      <c r="A104" s="31" t="s">
        <v>7</v>
      </c>
      <c r="B104" s="180"/>
      <c r="C104" s="67"/>
      <c r="D104" s="67"/>
    </row>
    <row r="105" spans="1:4" ht="12.75">
      <c r="A105" s="31"/>
      <c r="D105" s="67"/>
    </row>
    <row r="106" spans="1:4" ht="12.75">
      <c r="A106" s="31" t="s">
        <v>6</v>
      </c>
      <c r="B106" s="69"/>
      <c r="D106" s="67"/>
    </row>
  </sheetData>
  <sheetProtection/>
  <mergeCells count="25">
    <mergeCell ref="B9:D9"/>
    <mergeCell ref="A4:D4"/>
    <mergeCell ref="B6:D6"/>
    <mergeCell ref="B7:D7"/>
    <mergeCell ref="B8:D8"/>
    <mergeCell ref="G9:I9"/>
    <mergeCell ref="J9:L9"/>
    <mergeCell ref="A84:C84"/>
    <mergeCell ref="A45:D45"/>
    <mergeCell ref="A46:D46"/>
    <mergeCell ref="A66:D66"/>
    <mergeCell ref="A81:D81"/>
    <mergeCell ref="A40:D40"/>
    <mergeCell ref="A20:D20"/>
    <mergeCell ref="A23:D23"/>
    <mergeCell ref="A29:D29"/>
    <mergeCell ref="A36:D36"/>
    <mergeCell ref="E10:J10"/>
    <mergeCell ref="K10:O10"/>
    <mergeCell ref="A13:D13"/>
    <mergeCell ref="A14:D14"/>
    <mergeCell ref="A10:A11"/>
    <mergeCell ref="B10:B11"/>
    <mergeCell ref="C10:C11"/>
    <mergeCell ref="D10:D1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3" r:id="rId1"/>
  <headerFooter alignWithMargins="0">
    <oddFooter>&amp;CLapa &amp;P no &amp;N; &amp;A</oddFooter>
  </headerFooter>
  <rowBreaks count="1" manualBreakCount="1">
    <brk id="83" max="14" man="1"/>
  </rowBreaks>
  <ignoredErrors>
    <ignoredError sqref="D5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96"/>
  <sheetViews>
    <sheetView view="pageBreakPreview" zoomScaleSheetLayoutView="100" zoomScalePageLayoutView="0" workbookViewId="0" topLeftCell="A67">
      <pane xSplit="4" topLeftCell="E1" activePane="topRight" state="frozen"/>
      <selection pane="topLeft" activeCell="A2" sqref="A2"/>
      <selection pane="topRight" activeCell="C80" sqref="C80"/>
    </sheetView>
  </sheetViews>
  <sheetFormatPr defaultColWidth="9.140625" defaultRowHeight="12.75" outlineLevelRow="1"/>
  <cols>
    <col min="1" max="1" width="13.8515625" style="130" customWidth="1"/>
    <col min="2" max="2" width="43.8515625" style="130" customWidth="1"/>
    <col min="3" max="3" width="12.7109375" style="130" customWidth="1"/>
    <col min="4" max="4" width="12.00390625" style="67" customWidth="1"/>
    <col min="5" max="5" width="7.7109375" style="130" customWidth="1"/>
    <col min="6" max="6" width="6.140625" style="130" customWidth="1"/>
    <col min="7" max="7" width="8.00390625" style="130" customWidth="1"/>
    <col min="8" max="8" width="9.421875" style="130" customWidth="1"/>
    <col min="9" max="9" width="7.00390625" style="130" customWidth="1"/>
    <col min="10" max="10" width="9.57421875" style="130" customWidth="1"/>
    <col min="11" max="12" width="9.421875" style="130" bestFit="1" customWidth="1"/>
    <col min="13" max="13" width="10.8515625" style="130" customWidth="1"/>
    <col min="14" max="14" width="9.421875" style="130" bestFit="1" customWidth="1"/>
    <col min="15" max="15" width="10.421875" style="130" bestFit="1" customWidth="1"/>
    <col min="16" max="16" width="10.28125" style="130" bestFit="1" customWidth="1"/>
    <col min="17" max="16384" width="9.140625" style="130" customWidth="1"/>
  </cols>
  <sheetData>
    <row r="1" spans="6:9" ht="12.75" outlineLevel="1">
      <c r="F1" s="130">
        <v>5.41</v>
      </c>
      <c r="I1" s="131">
        <v>0.08</v>
      </c>
    </row>
    <row r="2" spans="1:15" s="31" customFormat="1" ht="15.75" thickBot="1">
      <c r="A2" s="337" t="s">
        <v>696</v>
      </c>
      <c r="B2" s="337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31" customFormat="1" ht="14.25" customHeight="1" thickTop="1">
      <c r="A3" s="329" t="s">
        <v>346</v>
      </c>
      <c r="B3" s="329"/>
      <c r="C3" s="329"/>
      <c r="D3" s="32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31" customFormat="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31" customFormat="1" ht="25.5">
      <c r="A5" s="41" t="s">
        <v>21</v>
      </c>
      <c r="B5" s="331" t="s">
        <v>163</v>
      </c>
      <c r="C5" s="331"/>
      <c r="D5" s="331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31" customFormat="1" ht="12.75">
      <c r="A6" s="8" t="s">
        <v>22</v>
      </c>
      <c r="B6" s="320" t="str">
        <f>'LKT-3;Cīruļu'!B7:D7</f>
        <v>KDS "Ziedonis", Katlakalns, Ķekavas pagasts, Ķekavas novads</v>
      </c>
      <c r="C6" s="320"/>
      <c r="D6" s="320"/>
      <c r="E6" s="14"/>
      <c r="F6" s="14"/>
      <c r="G6" s="14"/>
      <c r="H6" s="14"/>
      <c r="I6" s="14"/>
      <c r="J6" s="14"/>
      <c r="K6" s="14"/>
      <c r="L6" s="8"/>
      <c r="M6" s="8"/>
      <c r="N6" s="8"/>
      <c r="O6" s="8"/>
    </row>
    <row r="7" spans="1:15" s="31" customFormat="1" ht="12.75">
      <c r="A7" s="8"/>
      <c r="B7" s="320"/>
      <c r="C7" s="320"/>
      <c r="D7" s="320"/>
      <c r="E7" s="50"/>
      <c r="F7" s="50"/>
      <c r="H7" s="1"/>
      <c r="I7" s="17" t="s">
        <v>8</v>
      </c>
      <c r="J7" s="2">
        <f>O81</f>
        <v>0</v>
      </c>
      <c r="K7" s="1" t="s">
        <v>685</v>
      </c>
      <c r="L7" s="53"/>
      <c r="M7" s="8"/>
      <c r="N7" s="8"/>
      <c r="O7" s="8"/>
    </row>
    <row r="8" spans="1:15" s="31" customFormat="1" ht="13.5" thickBot="1">
      <c r="A8" s="8"/>
      <c r="B8" s="320"/>
      <c r="C8" s="320"/>
      <c r="D8" s="320"/>
      <c r="E8" s="52"/>
      <c r="F8" s="53"/>
      <c r="G8" s="322" t="s">
        <v>663</v>
      </c>
      <c r="H8" s="322"/>
      <c r="I8" s="322"/>
      <c r="J8" s="323" t="s">
        <v>686</v>
      </c>
      <c r="K8" s="323"/>
      <c r="L8" s="323"/>
      <c r="M8" s="53"/>
      <c r="N8" s="53"/>
      <c r="O8" s="53"/>
    </row>
    <row r="9" spans="1:15" s="31" customFormat="1" ht="18.75" customHeight="1">
      <c r="A9" s="324" t="s">
        <v>24</v>
      </c>
      <c r="B9" s="318" t="s">
        <v>25</v>
      </c>
      <c r="C9" s="327" t="s">
        <v>26</v>
      </c>
      <c r="D9" s="327" t="s">
        <v>27</v>
      </c>
      <c r="E9" s="318" t="s">
        <v>28</v>
      </c>
      <c r="F9" s="318"/>
      <c r="G9" s="318"/>
      <c r="H9" s="318"/>
      <c r="I9" s="318"/>
      <c r="J9" s="318"/>
      <c r="K9" s="318" t="s">
        <v>29</v>
      </c>
      <c r="L9" s="318" t="s">
        <v>29</v>
      </c>
      <c r="M9" s="318"/>
      <c r="N9" s="318"/>
      <c r="O9" s="321"/>
    </row>
    <row r="10" spans="1:15" s="31" customFormat="1" ht="80.25" thickBot="1">
      <c r="A10" s="325"/>
      <c r="B10" s="326"/>
      <c r="C10" s="328"/>
      <c r="D10" s="328"/>
      <c r="E10" s="32" t="s">
        <v>30</v>
      </c>
      <c r="F10" s="32" t="s">
        <v>678</v>
      </c>
      <c r="G10" s="32" t="s">
        <v>677</v>
      </c>
      <c r="H10" s="56" t="s">
        <v>679</v>
      </c>
      <c r="I10" s="32" t="s">
        <v>680</v>
      </c>
      <c r="J10" s="32" t="s">
        <v>681</v>
      </c>
      <c r="K10" s="32" t="s">
        <v>31</v>
      </c>
      <c r="L10" s="32" t="s">
        <v>682</v>
      </c>
      <c r="M10" s="32" t="s">
        <v>683</v>
      </c>
      <c r="N10" s="32" t="s">
        <v>680</v>
      </c>
      <c r="O10" s="57" t="s">
        <v>684</v>
      </c>
    </row>
    <row r="11" spans="1:15" s="3" customFormat="1" ht="15" customHeight="1" thickBot="1">
      <c r="A11" s="58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  <c r="G11" s="59">
        <v>7</v>
      </c>
      <c r="H11" s="59">
        <v>8</v>
      </c>
      <c r="I11" s="59">
        <v>9</v>
      </c>
      <c r="J11" s="59">
        <v>10</v>
      </c>
      <c r="K11" s="59">
        <v>11</v>
      </c>
      <c r="L11" s="59">
        <v>12</v>
      </c>
      <c r="M11" s="59">
        <v>13</v>
      </c>
      <c r="N11" s="59">
        <v>14</v>
      </c>
      <c r="O11" s="60">
        <v>15</v>
      </c>
    </row>
    <row r="12" spans="1:15" s="44" customFormat="1" ht="15" customHeight="1" thickBot="1">
      <c r="A12" s="71"/>
      <c r="B12" s="71"/>
      <c r="C12" s="71"/>
      <c r="D12" s="71"/>
      <c r="E12" s="72"/>
      <c r="F12" s="72"/>
      <c r="G12" s="72"/>
      <c r="H12" s="72"/>
      <c r="I12" s="72"/>
      <c r="J12" s="61"/>
      <c r="K12" s="61"/>
      <c r="L12" s="61"/>
      <c r="M12" s="61"/>
      <c r="N12" s="61"/>
      <c r="O12" s="61"/>
    </row>
    <row r="13" spans="1:15" s="45" customFormat="1" ht="15" customHeight="1" thickBot="1">
      <c r="A13" s="314" t="s">
        <v>107</v>
      </c>
      <c r="B13" s="315"/>
      <c r="C13" s="315"/>
      <c r="D13" s="315"/>
      <c r="E13" s="73"/>
      <c r="F13" s="72"/>
      <c r="G13" s="72"/>
      <c r="H13" s="72"/>
      <c r="I13" s="72"/>
      <c r="J13" s="61"/>
      <c r="K13" s="61"/>
      <c r="L13" s="61"/>
      <c r="M13" s="61"/>
      <c r="N13" s="61"/>
      <c r="O13" s="62"/>
    </row>
    <row r="14" spans="1:15" s="3" customFormat="1" ht="15" customHeight="1" thickBot="1">
      <c r="A14" s="312" t="s">
        <v>106</v>
      </c>
      <c r="B14" s="313"/>
      <c r="C14" s="313"/>
      <c r="D14" s="319"/>
      <c r="E14" s="74"/>
      <c r="F14" s="75"/>
      <c r="G14" s="15"/>
      <c r="H14" s="15"/>
      <c r="I14" s="15"/>
      <c r="J14" s="42"/>
      <c r="K14" s="42"/>
      <c r="L14" s="42"/>
      <c r="M14" s="42"/>
      <c r="N14" s="42"/>
      <c r="O14" s="43"/>
    </row>
    <row r="15" spans="1:15" s="27" customFormat="1" ht="25.5">
      <c r="A15" s="70" t="s">
        <v>347</v>
      </c>
      <c r="B15" s="80" t="s">
        <v>50</v>
      </c>
      <c r="C15" s="70" t="s">
        <v>32</v>
      </c>
      <c r="D15" s="70">
        <v>1</v>
      </c>
      <c r="E15" s="185"/>
      <c r="F15" s="21"/>
      <c r="G15" s="185"/>
      <c r="H15" s="193"/>
      <c r="I15" s="21"/>
      <c r="J15" s="21"/>
      <c r="K15" s="21"/>
      <c r="L15" s="21"/>
      <c r="M15" s="21"/>
      <c r="N15" s="21"/>
      <c r="O15" s="21"/>
    </row>
    <row r="16" spans="1:15" s="27" customFormat="1" ht="27" customHeight="1">
      <c r="A16" s="70" t="s">
        <v>348</v>
      </c>
      <c r="B16" s="78" t="s">
        <v>51</v>
      </c>
      <c r="C16" s="75" t="s">
        <v>47</v>
      </c>
      <c r="D16" s="70">
        <v>2</v>
      </c>
      <c r="E16" s="185"/>
      <c r="F16" s="21"/>
      <c r="G16" s="183"/>
      <c r="H16" s="195"/>
      <c r="I16" s="21"/>
      <c r="J16" s="21"/>
      <c r="K16" s="21"/>
      <c r="L16" s="21"/>
      <c r="M16" s="21"/>
      <c r="N16" s="21"/>
      <c r="O16" s="36"/>
    </row>
    <row r="17" spans="1:15" s="27" customFormat="1" ht="25.5">
      <c r="A17" s="70" t="s">
        <v>349</v>
      </c>
      <c r="B17" s="78" t="s">
        <v>186</v>
      </c>
      <c r="C17" s="75" t="s">
        <v>16</v>
      </c>
      <c r="D17" s="70">
        <v>8</v>
      </c>
      <c r="E17" s="185"/>
      <c r="F17" s="21"/>
      <c r="G17" s="183"/>
      <c r="H17" s="183"/>
      <c r="I17" s="21"/>
      <c r="J17" s="21"/>
      <c r="K17" s="21"/>
      <c r="L17" s="21"/>
      <c r="M17" s="21"/>
      <c r="N17" s="21"/>
      <c r="O17" s="36"/>
    </row>
    <row r="18" spans="1:15" s="27" customFormat="1" ht="13.5" thickBot="1">
      <c r="A18" s="70" t="s">
        <v>350</v>
      </c>
      <c r="B18" s="78" t="s">
        <v>45</v>
      </c>
      <c r="C18" s="79" t="s">
        <v>46</v>
      </c>
      <c r="D18" s="70">
        <v>1</v>
      </c>
      <c r="E18" s="21"/>
      <c r="F18" s="21"/>
      <c r="G18" s="185"/>
      <c r="H18" s="193"/>
      <c r="I18" s="21"/>
      <c r="J18" s="21"/>
      <c r="K18" s="202"/>
      <c r="L18" s="21"/>
      <c r="M18" s="21"/>
      <c r="N18" s="21"/>
      <c r="O18" s="21"/>
    </row>
    <row r="19" spans="1:15" ht="14.25" customHeight="1" thickBot="1">
      <c r="A19" s="312" t="s">
        <v>105</v>
      </c>
      <c r="B19" s="313"/>
      <c r="C19" s="313"/>
      <c r="D19" s="319"/>
      <c r="E19" s="74"/>
      <c r="F19" s="75"/>
      <c r="G19" s="15"/>
      <c r="H19" s="15"/>
      <c r="I19" s="15"/>
      <c r="J19" s="42"/>
      <c r="K19" s="132"/>
      <c r="L19" s="132"/>
      <c r="M19" s="132"/>
      <c r="N19" s="132"/>
      <c r="O19" s="133"/>
    </row>
    <row r="20" spans="1:15" s="27" customFormat="1" ht="25.5">
      <c r="A20" s="77" t="s">
        <v>351</v>
      </c>
      <c r="B20" s="10" t="s">
        <v>155</v>
      </c>
      <c r="C20" s="79" t="s">
        <v>664</v>
      </c>
      <c r="D20" s="70">
        <f>6*1.2/100</f>
        <v>0.072</v>
      </c>
      <c r="E20" s="203"/>
      <c r="F20" s="21"/>
      <c r="G20" s="185"/>
      <c r="H20" s="183"/>
      <c r="I20" s="203"/>
      <c r="J20" s="21"/>
      <c r="K20" s="202"/>
      <c r="L20" s="21"/>
      <c r="M20" s="21"/>
      <c r="N20" s="21"/>
      <c r="O20" s="36"/>
    </row>
    <row r="21" spans="1:15" s="27" customFormat="1" ht="26.25" thickBot="1">
      <c r="A21" s="77" t="s">
        <v>352</v>
      </c>
      <c r="B21" s="81" t="s">
        <v>49</v>
      </c>
      <c r="C21" s="79" t="s">
        <v>48</v>
      </c>
      <c r="D21" s="70">
        <v>1</v>
      </c>
      <c r="E21" s="185"/>
      <c r="F21" s="21"/>
      <c r="G21" s="185"/>
      <c r="H21" s="183"/>
      <c r="I21" s="21"/>
      <c r="J21" s="21"/>
      <c r="K21" s="202"/>
      <c r="L21" s="21"/>
      <c r="M21" s="21"/>
      <c r="N21" s="21"/>
      <c r="O21" s="21"/>
    </row>
    <row r="22" spans="1:15" ht="62.25" customHeight="1" thickBot="1">
      <c r="A22" s="312" t="s">
        <v>104</v>
      </c>
      <c r="B22" s="313"/>
      <c r="C22" s="313"/>
      <c r="D22" s="319"/>
      <c r="E22" s="16"/>
      <c r="F22" s="70"/>
      <c r="G22" s="16"/>
      <c r="H22" s="16"/>
      <c r="I22" s="16"/>
      <c r="J22" s="21"/>
      <c r="K22" s="21"/>
      <c r="L22" s="132"/>
      <c r="M22" s="132"/>
      <c r="N22" s="132"/>
      <c r="O22" s="133"/>
    </row>
    <row r="23" spans="1:15" s="6" customFormat="1" ht="12.75">
      <c r="A23" s="77" t="s">
        <v>353</v>
      </c>
      <c r="B23" s="82" t="s">
        <v>11</v>
      </c>
      <c r="C23" s="83" t="s">
        <v>41</v>
      </c>
      <c r="D23" s="125">
        <v>1</v>
      </c>
      <c r="E23" s="42"/>
      <c r="F23" s="192"/>
      <c r="G23" s="185"/>
      <c r="H23" s="194"/>
      <c r="I23" s="183"/>
      <c r="J23" s="42"/>
      <c r="K23" s="202"/>
      <c r="L23" s="21"/>
      <c r="M23" s="21"/>
      <c r="N23" s="21"/>
      <c r="O23" s="21"/>
    </row>
    <row r="24" spans="1:15" s="27" customFormat="1" ht="12.75">
      <c r="A24" s="77" t="s">
        <v>354</v>
      </c>
      <c r="B24" s="82" t="s">
        <v>66</v>
      </c>
      <c r="C24" s="83" t="s">
        <v>41</v>
      </c>
      <c r="D24" s="125">
        <v>8</v>
      </c>
      <c r="E24" s="42"/>
      <c r="F24" s="192"/>
      <c r="G24" s="185"/>
      <c r="H24" s="194"/>
      <c r="I24" s="183"/>
      <c r="J24" s="42"/>
      <c r="K24" s="202"/>
      <c r="L24" s="21"/>
      <c r="M24" s="21"/>
      <c r="N24" s="21"/>
      <c r="O24" s="21"/>
    </row>
    <row r="25" spans="1:15" s="27" customFormat="1" ht="12.75">
      <c r="A25" s="77" t="s">
        <v>355</v>
      </c>
      <c r="B25" s="82" t="s">
        <v>14</v>
      </c>
      <c r="C25" s="83" t="s">
        <v>41</v>
      </c>
      <c r="D25" s="125">
        <v>6</v>
      </c>
      <c r="E25" s="42"/>
      <c r="F25" s="192"/>
      <c r="G25" s="185"/>
      <c r="H25" s="194"/>
      <c r="I25" s="183"/>
      <c r="J25" s="42"/>
      <c r="K25" s="202"/>
      <c r="L25" s="21"/>
      <c r="M25" s="21"/>
      <c r="N25" s="21"/>
      <c r="O25" s="21"/>
    </row>
    <row r="26" spans="1:15" s="27" customFormat="1" ht="13.5" thickBot="1">
      <c r="A26" s="77" t="s">
        <v>356</v>
      </c>
      <c r="B26" s="85" t="s">
        <v>69</v>
      </c>
      <c r="C26" s="25" t="s">
        <v>16</v>
      </c>
      <c r="D26" s="125">
        <v>2</v>
      </c>
      <c r="E26" s="184"/>
      <c r="F26" s="20"/>
      <c r="G26" s="185"/>
      <c r="H26" s="184"/>
      <c r="I26" s="21"/>
      <c r="J26" s="20"/>
      <c r="K26" s="20"/>
      <c r="L26" s="20"/>
      <c r="M26" s="20"/>
      <c r="N26" s="20"/>
      <c r="O26" s="20"/>
    </row>
    <row r="27" spans="1:15" ht="48.75" customHeight="1" thickBot="1">
      <c r="A27" s="312" t="s">
        <v>160</v>
      </c>
      <c r="B27" s="313"/>
      <c r="C27" s="313"/>
      <c r="D27" s="319"/>
      <c r="E27" s="86"/>
      <c r="F27" s="70"/>
      <c r="G27" s="16"/>
      <c r="H27" s="16"/>
      <c r="I27" s="16"/>
      <c r="J27" s="21"/>
      <c r="K27" s="132"/>
      <c r="L27" s="132"/>
      <c r="M27" s="132"/>
      <c r="N27" s="132"/>
      <c r="O27" s="133"/>
    </row>
    <row r="28" spans="1:15" s="27" customFormat="1" ht="16.5" customHeight="1">
      <c r="A28" s="77" t="s">
        <v>357</v>
      </c>
      <c r="B28" s="80" t="s">
        <v>164</v>
      </c>
      <c r="C28" s="70" t="s">
        <v>33</v>
      </c>
      <c r="D28" s="70">
        <v>156.3</v>
      </c>
      <c r="E28" s="185"/>
      <c r="F28" s="21"/>
      <c r="G28" s="21"/>
      <c r="H28" s="183"/>
      <c r="I28" s="183"/>
      <c r="J28" s="21"/>
      <c r="K28" s="21"/>
      <c r="L28" s="21"/>
      <c r="M28" s="21"/>
      <c r="N28" s="21"/>
      <c r="O28" s="36"/>
    </row>
    <row r="29" spans="1:15" s="27" customFormat="1" ht="38.25">
      <c r="A29" s="77" t="s">
        <v>358</v>
      </c>
      <c r="B29" s="115" t="s">
        <v>344</v>
      </c>
      <c r="C29" s="70" t="s">
        <v>33</v>
      </c>
      <c r="D29" s="70">
        <v>77</v>
      </c>
      <c r="E29" s="185"/>
      <c r="F29" s="21"/>
      <c r="G29" s="21"/>
      <c r="H29" s="185"/>
      <c r="I29" s="21"/>
      <c r="J29" s="21"/>
      <c r="K29" s="21"/>
      <c r="L29" s="21"/>
      <c r="M29" s="21"/>
      <c r="N29" s="21"/>
      <c r="O29" s="36"/>
    </row>
    <row r="30" spans="1:15" s="27" customFormat="1" ht="26.25" thickBot="1">
      <c r="A30" s="77" t="s">
        <v>359</v>
      </c>
      <c r="B30" s="81" t="s">
        <v>112</v>
      </c>
      <c r="C30" s="70" t="s">
        <v>33</v>
      </c>
      <c r="D30" s="70">
        <f>ROUND(28.5-11*0.6,0)</f>
        <v>22</v>
      </c>
      <c r="E30" s="185"/>
      <c r="F30" s="21"/>
      <c r="G30" s="21"/>
      <c r="H30" s="185"/>
      <c r="I30" s="21"/>
      <c r="J30" s="21"/>
      <c r="K30" s="21"/>
      <c r="L30" s="21"/>
      <c r="M30" s="21"/>
      <c r="N30" s="21"/>
      <c r="O30" s="36"/>
    </row>
    <row r="31" spans="1:15" ht="14.25" customHeight="1" thickBot="1">
      <c r="A31" s="312" t="s">
        <v>103</v>
      </c>
      <c r="B31" s="313"/>
      <c r="C31" s="313"/>
      <c r="D31" s="319"/>
      <c r="E31" s="87"/>
      <c r="F31" s="70"/>
      <c r="G31" s="16"/>
      <c r="H31" s="16"/>
      <c r="I31" s="16"/>
      <c r="J31" s="21"/>
      <c r="K31" s="21"/>
      <c r="L31" s="21"/>
      <c r="M31" s="21"/>
      <c r="N31" s="21"/>
      <c r="O31" s="36"/>
    </row>
    <row r="32" spans="1:15" ht="12.75">
      <c r="A32" s="77" t="s">
        <v>360</v>
      </c>
      <c r="B32" s="81" t="s">
        <v>59</v>
      </c>
      <c r="C32" s="70" t="s">
        <v>33</v>
      </c>
      <c r="D32" s="70">
        <v>147</v>
      </c>
      <c r="E32" s="185"/>
      <c r="F32" s="21"/>
      <c r="G32" s="185"/>
      <c r="H32" s="185"/>
      <c r="I32" s="21"/>
      <c r="J32" s="21"/>
      <c r="K32" s="21"/>
      <c r="L32" s="21"/>
      <c r="M32" s="21"/>
      <c r="N32" s="21"/>
      <c r="O32" s="21"/>
    </row>
    <row r="33" spans="1:15" ht="13.5" thickBot="1">
      <c r="A33" s="77" t="s">
        <v>361</v>
      </c>
      <c r="B33" s="81" t="s">
        <v>99</v>
      </c>
      <c r="C33" s="70" t="s">
        <v>100</v>
      </c>
      <c r="D33" s="76">
        <v>15</v>
      </c>
      <c r="E33" s="185"/>
      <c r="F33" s="21"/>
      <c r="G33" s="185"/>
      <c r="H33" s="185"/>
      <c r="I33" s="21"/>
      <c r="J33" s="21"/>
      <c r="K33" s="21"/>
      <c r="L33" s="21"/>
      <c r="M33" s="21"/>
      <c r="N33" s="21"/>
      <c r="O33" s="21"/>
    </row>
    <row r="34" spans="1:15" ht="35.25" customHeight="1" thickBot="1">
      <c r="A34" s="312" t="s">
        <v>102</v>
      </c>
      <c r="B34" s="313"/>
      <c r="C34" s="313"/>
      <c r="D34" s="319"/>
      <c r="E34" s="87"/>
      <c r="F34" s="70"/>
      <c r="G34" s="16"/>
      <c r="H34" s="16"/>
      <c r="I34" s="16"/>
      <c r="J34" s="21"/>
      <c r="K34" s="21"/>
      <c r="L34" s="21"/>
      <c r="M34" s="21"/>
      <c r="N34" s="21"/>
      <c r="O34" s="36"/>
    </row>
    <row r="35" spans="1:15" s="26" customFormat="1" ht="38.25">
      <c r="A35" s="77" t="s">
        <v>362</v>
      </c>
      <c r="B35" s="4" t="s">
        <v>187</v>
      </c>
      <c r="C35" s="79" t="s">
        <v>44</v>
      </c>
      <c r="D35" s="70">
        <f>D28*1.2*1.75+D30*1.2*1.75-D43-D52-D69-D70-D72</f>
        <v>198.74999999999997</v>
      </c>
      <c r="E35" s="183"/>
      <c r="F35" s="21"/>
      <c r="G35" s="185"/>
      <c r="H35" s="183"/>
      <c r="I35" s="21"/>
      <c r="J35" s="21"/>
      <c r="K35" s="202"/>
      <c r="L35" s="21"/>
      <c r="M35" s="21"/>
      <c r="N35" s="21"/>
      <c r="O35" s="21"/>
    </row>
    <row r="36" spans="1:15" s="26" customFormat="1" ht="38.25">
      <c r="A36" s="77" t="s">
        <v>363</v>
      </c>
      <c r="B36" s="85" t="s">
        <v>109</v>
      </c>
      <c r="C36" s="88" t="s">
        <v>44</v>
      </c>
      <c r="D36" s="25">
        <f>ROUND(D35*0.1,0)</f>
        <v>20</v>
      </c>
      <c r="E36" s="185"/>
      <c r="F36" s="21"/>
      <c r="G36" s="185"/>
      <c r="H36" s="185"/>
      <c r="I36" s="185"/>
      <c r="J36" s="21"/>
      <c r="K36" s="202"/>
      <c r="L36" s="21"/>
      <c r="M36" s="21"/>
      <c r="N36" s="21"/>
      <c r="O36" s="21"/>
    </row>
    <row r="37" spans="1:15" s="26" customFormat="1" ht="12.75">
      <c r="A37" s="77" t="s">
        <v>364</v>
      </c>
      <c r="B37" s="7" t="s">
        <v>188</v>
      </c>
      <c r="C37" s="88" t="s">
        <v>44</v>
      </c>
      <c r="D37" s="25">
        <f>D36</f>
        <v>20</v>
      </c>
      <c r="E37" s="184"/>
      <c r="F37" s="20"/>
      <c r="G37" s="184"/>
      <c r="H37" s="184"/>
      <c r="I37" s="21"/>
      <c r="J37" s="20"/>
      <c r="K37" s="20"/>
      <c r="L37" s="20"/>
      <c r="M37" s="20"/>
      <c r="N37" s="20"/>
      <c r="O37" s="20"/>
    </row>
    <row r="38" spans="1:15" s="28" customFormat="1" ht="26.25" thickBot="1">
      <c r="A38" s="77" t="s">
        <v>365</v>
      </c>
      <c r="B38" s="81" t="s">
        <v>110</v>
      </c>
      <c r="C38" s="79" t="s">
        <v>44</v>
      </c>
      <c r="D38" s="70">
        <f>D43+D52+D37+D69+D70</f>
        <v>194.6</v>
      </c>
      <c r="E38" s="185"/>
      <c r="F38" s="21"/>
      <c r="G38" s="185"/>
      <c r="H38" s="185"/>
      <c r="I38" s="185"/>
      <c r="J38" s="21"/>
      <c r="K38" s="202"/>
      <c r="L38" s="21"/>
      <c r="M38" s="21"/>
      <c r="N38" s="21"/>
      <c r="O38" s="21"/>
    </row>
    <row r="39" spans="1:15" s="28" customFormat="1" ht="16.5" thickBot="1">
      <c r="A39" s="314" t="s">
        <v>166</v>
      </c>
      <c r="B39" s="315"/>
      <c r="C39" s="315"/>
      <c r="D39" s="315"/>
      <c r="E39" s="86"/>
      <c r="F39" s="70"/>
      <c r="G39" s="16"/>
      <c r="H39" s="16"/>
      <c r="I39" s="70"/>
      <c r="J39" s="21"/>
      <c r="K39" s="21"/>
      <c r="L39" s="21"/>
      <c r="M39" s="21"/>
      <c r="N39" s="21"/>
      <c r="O39" s="36"/>
    </row>
    <row r="40" spans="1:15" s="28" customFormat="1" ht="14.25" customHeight="1" thickBot="1">
      <c r="A40" s="312" t="s">
        <v>174</v>
      </c>
      <c r="B40" s="313"/>
      <c r="C40" s="313"/>
      <c r="D40" s="313"/>
      <c r="E40" s="86"/>
      <c r="F40" s="70"/>
      <c r="G40" s="16"/>
      <c r="H40" s="16"/>
      <c r="I40" s="70"/>
      <c r="J40" s="21"/>
      <c r="K40" s="21"/>
      <c r="L40" s="21"/>
      <c r="M40" s="21"/>
      <c r="N40" s="21"/>
      <c r="O40" s="36"/>
    </row>
    <row r="41" spans="1:15" s="28" customFormat="1" ht="12.75">
      <c r="A41" s="75" t="s">
        <v>366</v>
      </c>
      <c r="B41" s="78" t="s">
        <v>168</v>
      </c>
      <c r="C41" s="70" t="s">
        <v>33</v>
      </c>
      <c r="D41" s="70">
        <f>D47</f>
        <v>156.3</v>
      </c>
      <c r="E41" s="183"/>
      <c r="F41" s="21"/>
      <c r="G41" s="185"/>
      <c r="H41" s="195"/>
      <c r="I41" s="21"/>
      <c r="J41" s="21"/>
      <c r="K41" s="202"/>
      <c r="L41" s="21"/>
      <c r="M41" s="21"/>
      <c r="N41" s="21"/>
      <c r="O41" s="21"/>
    </row>
    <row r="42" spans="1:15" s="28" customFormat="1" ht="25.5">
      <c r="A42" s="75" t="s">
        <v>367</v>
      </c>
      <c r="B42" s="81" t="s">
        <v>687</v>
      </c>
      <c r="C42" s="70" t="s">
        <v>79</v>
      </c>
      <c r="D42" s="70">
        <f>ROUND((D45*0.41+D46*0.5+D47*0.65),1)</f>
        <v>113.6</v>
      </c>
      <c r="E42" s="185"/>
      <c r="F42" s="21"/>
      <c r="G42" s="185"/>
      <c r="H42" s="185"/>
      <c r="I42" s="185"/>
      <c r="J42" s="21"/>
      <c r="K42" s="202"/>
      <c r="L42" s="21"/>
      <c r="M42" s="21"/>
      <c r="N42" s="21"/>
      <c r="O42" s="21"/>
    </row>
    <row r="43" spans="1:15" s="28" customFormat="1" ht="25.5">
      <c r="A43" s="75" t="s">
        <v>368</v>
      </c>
      <c r="B43" s="85" t="s">
        <v>688</v>
      </c>
      <c r="C43" s="25" t="s">
        <v>12</v>
      </c>
      <c r="D43" s="70">
        <f>ROUND((D45*0.0615+D46*0.075+D47*0.065),1)</f>
        <v>12</v>
      </c>
      <c r="E43" s="184"/>
      <c r="F43" s="20"/>
      <c r="G43" s="184"/>
      <c r="H43" s="184"/>
      <c r="I43" s="21"/>
      <c r="J43" s="20"/>
      <c r="K43" s="20"/>
      <c r="L43" s="20"/>
      <c r="M43" s="20"/>
      <c r="N43" s="20"/>
      <c r="O43" s="20"/>
    </row>
    <row r="44" spans="1:15" s="28" customFormat="1" ht="12.75">
      <c r="A44" s="75" t="s">
        <v>369</v>
      </c>
      <c r="B44" s="89" t="s">
        <v>15</v>
      </c>
      <c r="C44" s="70" t="s">
        <v>33</v>
      </c>
      <c r="D44" s="70">
        <f>SUM(D45:D47)</f>
        <v>184.20000000000002</v>
      </c>
      <c r="E44" s="185"/>
      <c r="F44" s="21"/>
      <c r="G44" s="185"/>
      <c r="H44" s="185"/>
      <c r="I44" s="185"/>
      <c r="J44" s="21"/>
      <c r="K44" s="202"/>
      <c r="L44" s="21"/>
      <c r="M44" s="21"/>
      <c r="N44" s="21"/>
      <c r="O44" s="21"/>
    </row>
    <row r="45" spans="1:15" s="28" customFormat="1" ht="12.75">
      <c r="A45" s="75" t="s">
        <v>370</v>
      </c>
      <c r="B45" s="90" t="s">
        <v>170</v>
      </c>
      <c r="C45" s="25" t="s">
        <v>33</v>
      </c>
      <c r="D45" s="70">
        <v>21.5</v>
      </c>
      <c r="E45" s="184"/>
      <c r="F45" s="20"/>
      <c r="G45" s="184"/>
      <c r="H45" s="184"/>
      <c r="I45" s="21"/>
      <c r="J45" s="20"/>
      <c r="K45" s="20"/>
      <c r="L45" s="20"/>
      <c r="M45" s="20"/>
      <c r="N45" s="20"/>
      <c r="O45" s="20"/>
    </row>
    <row r="46" spans="1:15" s="28" customFormat="1" ht="12.75">
      <c r="A46" s="75" t="s">
        <v>371</v>
      </c>
      <c r="B46" s="90" t="s">
        <v>9</v>
      </c>
      <c r="C46" s="25" t="s">
        <v>33</v>
      </c>
      <c r="D46" s="70">
        <v>6.4</v>
      </c>
      <c r="E46" s="196"/>
      <c r="F46" s="20"/>
      <c r="G46" s="196"/>
      <c r="H46" s="184"/>
      <c r="I46" s="21"/>
      <c r="J46" s="20"/>
      <c r="K46" s="20"/>
      <c r="L46" s="20"/>
      <c r="M46" s="20"/>
      <c r="N46" s="20"/>
      <c r="O46" s="38"/>
    </row>
    <row r="47" spans="1:15" s="28" customFormat="1" ht="12.75">
      <c r="A47" s="75" t="s">
        <v>372</v>
      </c>
      <c r="B47" s="90" t="s">
        <v>169</v>
      </c>
      <c r="C47" s="25" t="s">
        <v>33</v>
      </c>
      <c r="D47" s="70">
        <v>156.3</v>
      </c>
      <c r="E47" s="184"/>
      <c r="F47" s="20"/>
      <c r="G47" s="184"/>
      <c r="H47" s="184"/>
      <c r="I47" s="21"/>
      <c r="J47" s="20"/>
      <c r="K47" s="20"/>
      <c r="L47" s="20"/>
      <c r="M47" s="20"/>
      <c r="N47" s="20"/>
      <c r="O47" s="20"/>
    </row>
    <row r="48" spans="1:15" s="28" customFormat="1" ht="38.25">
      <c r="A48" s="75" t="s">
        <v>373</v>
      </c>
      <c r="B48" s="85" t="s">
        <v>691</v>
      </c>
      <c r="C48" s="88" t="s">
        <v>42</v>
      </c>
      <c r="D48" s="105">
        <f>D47</f>
        <v>156.3</v>
      </c>
      <c r="E48" s="184"/>
      <c r="F48" s="20"/>
      <c r="G48" s="184"/>
      <c r="H48" s="184"/>
      <c r="I48" s="21"/>
      <c r="J48" s="20"/>
      <c r="K48" s="20"/>
      <c r="L48" s="20"/>
      <c r="M48" s="20"/>
      <c r="N48" s="20"/>
      <c r="O48" s="20"/>
    </row>
    <row r="49" spans="1:15" s="28" customFormat="1" ht="45.75" customHeight="1">
      <c r="A49" s="75" t="s">
        <v>374</v>
      </c>
      <c r="B49" s="4" t="s">
        <v>193</v>
      </c>
      <c r="C49" s="70" t="s">
        <v>16</v>
      </c>
      <c r="D49" s="70">
        <v>8</v>
      </c>
      <c r="E49" s="185"/>
      <c r="F49" s="21"/>
      <c r="G49" s="185"/>
      <c r="H49" s="183"/>
      <c r="I49" s="21"/>
      <c r="J49" s="21"/>
      <c r="K49" s="202"/>
      <c r="L49" s="21"/>
      <c r="M49" s="21"/>
      <c r="N49" s="21"/>
      <c r="O49" s="21"/>
    </row>
    <row r="50" spans="1:15" s="28" customFormat="1" ht="51">
      <c r="A50" s="75" t="s">
        <v>375</v>
      </c>
      <c r="B50" s="7" t="s">
        <v>213</v>
      </c>
      <c r="C50" s="9" t="s">
        <v>32</v>
      </c>
      <c r="D50" s="70">
        <f>D49</f>
        <v>8</v>
      </c>
      <c r="E50" s="184"/>
      <c r="F50" s="20"/>
      <c r="G50" s="184"/>
      <c r="H50" s="184"/>
      <c r="I50" s="21"/>
      <c r="J50" s="20"/>
      <c r="K50" s="20"/>
      <c r="L50" s="20"/>
      <c r="M50" s="20"/>
      <c r="N50" s="20"/>
      <c r="O50" s="20"/>
    </row>
    <row r="51" spans="1:15" s="28" customFormat="1" ht="25.5">
      <c r="A51" s="75" t="s">
        <v>376</v>
      </c>
      <c r="B51" s="81" t="s">
        <v>690</v>
      </c>
      <c r="C51" s="70" t="s">
        <v>42</v>
      </c>
      <c r="D51" s="70">
        <f>D42</f>
        <v>113.6</v>
      </c>
      <c r="E51" s="185"/>
      <c r="F51" s="21"/>
      <c r="G51" s="185"/>
      <c r="H51" s="185"/>
      <c r="I51" s="185"/>
      <c r="J51" s="21"/>
      <c r="K51" s="202"/>
      <c r="L51" s="21"/>
      <c r="M51" s="21"/>
      <c r="N51" s="21"/>
      <c r="O51" s="21"/>
    </row>
    <row r="52" spans="1:15" s="28" customFormat="1" ht="25.5">
      <c r="A52" s="75" t="s">
        <v>377</v>
      </c>
      <c r="B52" s="85" t="s">
        <v>689</v>
      </c>
      <c r="C52" s="88" t="s">
        <v>12</v>
      </c>
      <c r="D52" s="105">
        <f>ROUND((D45*0.12+D46*0.18+D47*0.2434),1)</f>
        <v>41.8</v>
      </c>
      <c r="E52" s="196"/>
      <c r="F52" s="20"/>
      <c r="G52" s="196"/>
      <c r="H52" s="196"/>
      <c r="I52" s="196"/>
      <c r="J52" s="20"/>
      <c r="K52" s="20"/>
      <c r="L52" s="20"/>
      <c r="M52" s="20"/>
      <c r="N52" s="20"/>
      <c r="O52" s="38"/>
    </row>
    <row r="53" spans="1:15" s="28" customFormat="1" ht="12.75">
      <c r="A53" s="75" t="s">
        <v>378</v>
      </c>
      <c r="B53" s="89" t="s">
        <v>86</v>
      </c>
      <c r="C53" s="70" t="s">
        <v>33</v>
      </c>
      <c r="D53" s="70">
        <f>D41</f>
        <v>156.3</v>
      </c>
      <c r="E53" s="183"/>
      <c r="F53" s="21"/>
      <c r="G53" s="185"/>
      <c r="H53" s="183"/>
      <c r="I53" s="21"/>
      <c r="J53" s="21"/>
      <c r="K53" s="202"/>
      <c r="L53" s="21"/>
      <c r="M53" s="21"/>
      <c r="N53" s="21"/>
      <c r="O53" s="36"/>
    </row>
    <row r="54" spans="1:15" s="28" customFormat="1" ht="13.5" thickBot="1">
      <c r="A54" s="75" t="s">
        <v>379</v>
      </c>
      <c r="B54" s="90" t="s">
        <v>17</v>
      </c>
      <c r="C54" s="25" t="s">
        <v>33</v>
      </c>
      <c r="D54" s="70">
        <f>D53</f>
        <v>156.3</v>
      </c>
      <c r="E54" s="196"/>
      <c r="F54" s="20"/>
      <c r="G54" s="196"/>
      <c r="H54" s="196"/>
      <c r="I54" s="21"/>
      <c r="J54" s="20"/>
      <c r="K54" s="20"/>
      <c r="L54" s="20"/>
      <c r="M54" s="20"/>
      <c r="N54" s="20"/>
      <c r="O54" s="38"/>
    </row>
    <row r="55" spans="1:15" s="28" customFormat="1" ht="14.25" customHeight="1" thickBot="1">
      <c r="A55" s="312" t="s">
        <v>202</v>
      </c>
      <c r="B55" s="313"/>
      <c r="C55" s="313"/>
      <c r="D55" s="313"/>
      <c r="E55" s="86"/>
      <c r="F55" s="70"/>
      <c r="G55" s="16"/>
      <c r="H55" s="16"/>
      <c r="I55" s="70"/>
      <c r="J55" s="21"/>
      <c r="K55" s="21"/>
      <c r="L55" s="21"/>
      <c r="M55" s="21"/>
      <c r="N55" s="21"/>
      <c r="O55" s="36"/>
    </row>
    <row r="56" spans="1:15" s="28" customFormat="1" ht="38.25">
      <c r="A56" s="75" t="s">
        <v>380</v>
      </c>
      <c r="B56" s="81" t="s">
        <v>196</v>
      </c>
      <c r="C56" s="70" t="s">
        <v>16</v>
      </c>
      <c r="D56" s="70">
        <f>SUM(D57:D58)</f>
        <v>7</v>
      </c>
      <c r="E56" s="185"/>
      <c r="F56" s="21"/>
      <c r="G56" s="185"/>
      <c r="H56" s="185"/>
      <c r="I56" s="21"/>
      <c r="J56" s="21"/>
      <c r="K56" s="202"/>
      <c r="L56" s="21"/>
      <c r="M56" s="21"/>
      <c r="N56" s="21"/>
      <c r="O56" s="36"/>
    </row>
    <row r="57" spans="1:15" s="28" customFormat="1" ht="25.5">
      <c r="A57" s="75" t="s">
        <v>381</v>
      </c>
      <c r="B57" s="93" t="s">
        <v>176</v>
      </c>
      <c r="C57" s="25" t="s">
        <v>32</v>
      </c>
      <c r="D57" s="25">
        <v>3</v>
      </c>
      <c r="E57" s="184"/>
      <c r="F57" s="20"/>
      <c r="G57" s="184"/>
      <c r="H57" s="184"/>
      <c r="I57" s="21"/>
      <c r="J57" s="20"/>
      <c r="K57" s="20"/>
      <c r="L57" s="20"/>
      <c r="M57" s="20"/>
      <c r="N57" s="20"/>
      <c r="O57" s="20"/>
    </row>
    <row r="58" spans="1:15" s="28" customFormat="1" ht="25.5">
      <c r="A58" s="75" t="s">
        <v>726</v>
      </c>
      <c r="B58" s="93" t="s">
        <v>177</v>
      </c>
      <c r="C58" s="25" t="s">
        <v>32</v>
      </c>
      <c r="D58" s="25">
        <v>4</v>
      </c>
      <c r="E58" s="184"/>
      <c r="F58" s="20"/>
      <c r="G58" s="184"/>
      <c r="H58" s="97"/>
      <c r="I58" s="21"/>
      <c r="J58" s="20"/>
      <c r="K58" s="20"/>
      <c r="L58" s="20"/>
      <c r="M58" s="20"/>
      <c r="N58" s="20"/>
      <c r="O58" s="20"/>
    </row>
    <row r="59" spans="1:15" s="28" customFormat="1" ht="38.25">
      <c r="A59" s="75" t="s">
        <v>382</v>
      </c>
      <c r="B59" s="81" t="s">
        <v>670</v>
      </c>
      <c r="C59" s="70" t="s">
        <v>16</v>
      </c>
      <c r="D59" s="70">
        <v>3</v>
      </c>
      <c r="E59" s="185"/>
      <c r="F59" s="21"/>
      <c r="G59" s="185"/>
      <c r="H59" s="185"/>
      <c r="I59" s="21"/>
      <c r="J59" s="21"/>
      <c r="K59" s="202"/>
      <c r="L59" s="21"/>
      <c r="M59" s="21"/>
      <c r="N59" s="21"/>
      <c r="O59" s="36"/>
    </row>
    <row r="60" spans="1:15" s="28" customFormat="1" ht="38.25">
      <c r="A60" s="75" t="s">
        <v>383</v>
      </c>
      <c r="B60" s="93" t="s">
        <v>671</v>
      </c>
      <c r="C60" s="25" t="s">
        <v>672</v>
      </c>
      <c r="D60" s="70">
        <v>3</v>
      </c>
      <c r="E60" s="184"/>
      <c r="F60" s="20"/>
      <c r="G60" s="184"/>
      <c r="H60" s="97"/>
      <c r="I60" s="21"/>
      <c r="J60" s="20"/>
      <c r="K60" s="20"/>
      <c r="L60" s="20"/>
      <c r="M60" s="20"/>
      <c r="N60" s="20"/>
      <c r="O60" s="20"/>
    </row>
    <row r="61" spans="1:15" s="28" customFormat="1" ht="12.75">
      <c r="A61" s="75" t="s">
        <v>384</v>
      </c>
      <c r="B61" s="93" t="s">
        <v>185</v>
      </c>
      <c r="C61" s="25" t="s">
        <v>16</v>
      </c>
      <c r="D61" s="25">
        <v>3</v>
      </c>
      <c r="E61" s="184"/>
      <c r="F61" s="20"/>
      <c r="G61" s="184"/>
      <c r="H61" s="97"/>
      <c r="I61" s="21"/>
      <c r="J61" s="20"/>
      <c r="K61" s="20"/>
      <c r="L61" s="20"/>
      <c r="M61" s="20"/>
      <c r="N61" s="20"/>
      <c r="O61" s="20"/>
    </row>
    <row r="62" spans="1:15" s="28" customFormat="1" ht="14.25">
      <c r="A62" s="75" t="s">
        <v>385</v>
      </c>
      <c r="B62" s="7" t="s">
        <v>1</v>
      </c>
      <c r="C62" s="25" t="s">
        <v>12</v>
      </c>
      <c r="D62" s="25">
        <f>ROUND(D59*0.13,1)</f>
        <v>0.4</v>
      </c>
      <c r="E62" s="196"/>
      <c r="F62" s="20"/>
      <c r="G62" s="196"/>
      <c r="H62" s="196"/>
      <c r="I62" s="21"/>
      <c r="J62" s="20"/>
      <c r="K62" s="20"/>
      <c r="L62" s="20"/>
      <c r="M62" s="20"/>
      <c r="N62" s="20"/>
      <c r="O62" s="38"/>
    </row>
    <row r="63" spans="1:15" s="28" customFormat="1" ht="15" thickBot="1">
      <c r="A63" s="75" t="s">
        <v>386</v>
      </c>
      <c r="B63" s="113" t="s">
        <v>2</v>
      </c>
      <c r="C63" s="25" t="s">
        <v>12</v>
      </c>
      <c r="D63" s="25">
        <f>ROUND(D59*0.14,1)</f>
        <v>0.4</v>
      </c>
      <c r="E63" s="196"/>
      <c r="F63" s="20"/>
      <c r="G63" s="196"/>
      <c r="H63" s="196"/>
      <c r="I63" s="21"/>
      <c r="J63" s="20"/>
      <c r="K63" s="20"/>
      <c r="L63" s="20"/>
      <c r="M63" s="20"/>
      <c r="N63" s="20"/>
      <c r="O63" s="38"/>
    </row>
    <row r="64" spans="1:15" s="28" customFormat="1" ht="15.75" thickBot="1">
      <c r="A64" s="312" t="s">
        <v>149</v>
      </c>
      <c r="B64" s="313"/>
      <c r="C64" s="313"/>
      <c r="D64" s="313"/>
      <c r="E64" s="86"/>
      <c r="F64" s="70"/>
      <c r="G64" s="16"/>
      <c r="H64" s="16"/>
      <c r="I64" s="70"/>
      <c r="J64" s="21"/>
      <c r="K64" s="21"/>
      <c r="L64" s="21"/>
      <c r="M64" s="21"/>
      <c r="N64" s="21"/>
      <c r="O64" s="36"/>
    </row>
    <row r="65" spans="1:15" s="28" customFormat="1" ht="12.75">
      <c r="A65" s="77" t="s">
        <v>388</v>
      </c>
      <c r="B65" s="81" t="s">
        <v>203</v>
      </c>
      <c r="C65" s="70" t="s">
        <v>33</v>
      </c>
      <c r="D65" s="124">
        <f>D41</f>
        <v>156.3</v>
      </c>
      <c r="E65" s="185"/>
      <c r="F65" s="21"/>
      <c r="G65" s="185"/>
      <c r="H65" s="185"/>
      <c r="I65" s="21"/>
      <c r="J65" s="21"/>
      <c r="K65" s="202"/>
      <c r="L65" s="21"/>
      <c r="M65" s="21"/>
      <c r="N65" s="21"/>
      <c r="O65" s="36"/>
    </row>
    <row r="66" spans="1:15" s="28" customFormat="1" ht="26.25" thickBot="1">
      <c r="A66" s="77" t="s">
        <v>387</v>
      </c>
      <c r="B66" s="81" t="s">
        <v>4</v>
      </c>
      <c r="C66" s="70" t="s">
        <v>16</v>
      </c>
      <c r="D66" s="124">
        <v>1</v>
      </c>
      <c r="E66" s="87"/>
      <c r="F66" s="70"/>
      <c r="G66" s="16"/>
      <c r="H66" s="16"/>
      <c r="I66" s="21"/>
      <c r="J66" s="21"/>
      <c r="K66" s="202"/>
      <c r="L66" s="21"/>
      <c r="M66" s="21"/>
      <c r="N66" s="21"/>
      <c r="O66" s="36"/>
    </row>
    <row r="67" spans="1:15" ht="14.25" customHeight="1" thickBot="1">
      <c r="A67" s="332" t="s">
        <v>101</v>
      </c>
      <c r="B67" s="333"/>
      <c r="C67" s="333"/>
      <c r="D67" s="100"/>
      <c r="E67" s="87"/>
      <c r="F67" s="70"/>
      <c r="G67" s="16"/>
      <c r="H67" s="16"/>
      <c r="I67" s="16"/>
      <c r="J67" s="21"/>
      <c r="K67" s="132"/>
      <c r="L67" s="132"/>
      <c r="M67" s="132"/>
      <c r="N67" s="132"/>
      <c r="O67" s="133"/>
    </row>
    <row r="68" spans="1:15" s="6" customFormat="1" ht="18" customHeight="1">
      <c r="A68" s="77" t="s">
        <v>389</v>
      </c>
      <c r="B68" s="96" t="s">
        <v>81</v>
      </c>
      <c r="C68" s="75" t="s">
        <v>661</v>
      </c>
      <c r="D68" s="123">
        <f>(179*1.2-11*0.6)/100</f>
        <v>2.082</v>
      </c>
      <c r="E68" s="185"/>
      <c r="F68" s="21"/>
      <c r="G68" s="185"/>
      <c r="H68" s="185"/>
      <c r="I68" s="21"/>
      <c r="J68" s="21"/>
      <c r="K68" s="202"/>
      <c r="L68" s="21"/>
      <c r="M68" s="21"/>
      <c r="N68" s="21"/>
      <c r="O68" s="21"/>
    </row>
    <row r="69" spans="1:15" s="6" customFormat="1" ht="14.25">
      <c r="A69" s="77" t="s">
        <v>390</v>
      </c>
      <c r="B69" s="85" t="s">
        <v>88</v>
      </c>
      <c r="C69" s="25" t="s">
        <v>12</v>
      </c>
      <c r="D69" s="70">
        <f>ROUND((100*D68*0.28),1)</f>
        <v>58.3</v>
      </c>
      <c r="E69" s="21"/>
      <c r="F69" s="21"/>
      <c r="G69" s="21"/>
      <c r="H69" s="184"/>
      <c r="I69" s="21"/>
      <c r="J69" s="20"/>
      <c r="K69" s="20"/>
      <c r="L69" s="20"/>
      <c r="M69" s="20"/>
      <c r="N69" s="20"/>
      <c r="O69" s="20"/>
    </row>
    <row r="70" spans="1:15" s="6" customFormat="1" ht="12" customHeight="1">
      <c r="A70" s="77" t="s">
        <v>391</v>
      </c>
      <c r="B70" s="85" t="s">
        <v>89</v>
      </c>
      <c r="C70" s="25" t="s">
        <v>12</v>
      </c>
      <c r="D70" s="25">
        <f>ROUND((100*D68*0.3),1)</f>
        <v>62.5</v>
      </c>
      <c r="E70" s="21"/>
      <c r="F70" s="21"/>
      <c r="G70" s="21"/>
      <c r="H70" s="184"/>
      <c r="I70" s="21"/>
      <c r="J70" s="20"/>
      <c r="K70" s="20"/>
      <c r="L70" s="20"/>
      <c r="M70" s="20"/>
      <c r="N70" s="20"/>
      <c r="O70" s="20"/>
    </row>
    <row r="71" spans="1:15" s="6" customFormat="1" ht="14.25">
      <c r="A71" s="77" t="s">
        <v>392</v>
      </c>
      <c r="B71" s="81" t="s">
        <v>82</v>
      </c>
      <c r="C71" s="75" t="s">
        <v>661</v>
      </c>
      <c r="D71" s="25">
        <f>D20</f>
        <v>0.072</v>
      </c>
      <c r="E71" s="185"/>
      <c r="F71" s="21"/>
      <c r="G71" s="185"/>
      <c r="H71" s="185"/>
      <c r="I71" s="185"/>
      <c r="J71" s="21"/>
      <c r="K71" s="202"/>
      <c r="L71" s="21"/>
      <c r="M71" s="21"/>
      <c r="N71" s="21"/>
      <c r="O71" s="21"/>
    </row>
    <row r="72" spans="1:15" s="6" customFormat="1" ht="14.25">
      <c r="A72" s="77" t="s">
        <v>393</v>
      </c>
      <c r="B72" s="85" t="s">
        <v>90</v>
      </c>
      <c r="C72" s="25" t="s">
        <v>12</v>
      </c>
      <c r="D72" s="98">
        <f>D71*0.15*100</f>
        <v>1.0799999999999998</v>
      </c>
      <c r="E72" s="201"/>
      <c r="F72" s="186"/>
      <c r="G72" s="186"/>
      <c r="H72" s="187"/>
      <c r="I72" s="21"/>
      <c r="J72" s="20"/>
      <c r="K72" s="20"/>
      <c r="L72" s="20"/>
      <c r="M72" s="20"/>
      <c r="N72" s="20"/>
      <c r="O72" s="20"/>
    </row>
    <row r="73" spans="1:15" s="6" customFormat="1" ht="18.75">
      <c r="A73" s="77" t="s">
        <v>394</v>
      </c>
      <c r="B73" s="85" t="s">
        <v>13</v>
      </c>
      <c r="C73" s="25" t="s">
        <v>40</v>
      </c>
      <c r="D73" s="98">
        <f>ROUND((D71*0.03*100),1)</f>
        <v>0.2</v>
      </c>
      <c r="E73" s="201"/>
      <c r="F73" s="186"/>
      <c r="G73" s="186"/>
      <c r="H73" s="187"/>
      <c r="I73" s="21"/>
      <c r="J73" s="20"/>
      <c r="K73" s="20"/>
      <c r="L73" s="20"/>
      <c r="M73" s="20"/>
      <c r="N73" s="20"/>
      <c r="O73" s="20"/>
    </row>
    <row r="74" spans="1:15" s="6" customFormat="1" ht="13.5" customHeight="1">
      <c r="A74" s="77" t="s">
        <v>395</v>
      </c>
      <c r="B74" s="81" t="s">
        <v>91</v>
      </c>
      <c r="C74" s="70" t="s">
        <v>79</v>
      </c>
      <c r="D74" s="98">
        <f>D21</f>
        <v>1</v>
      </c>
      <c r="E74" s="185"/>
      <c r="F74" s="21"/>
      <c r="G74" s="185"/>
      <c r="H74" s="185"/>
      <c r="I74" s="185"/>
      <c r="J74" s="21"/>
      <c r="K74" s="202"/>
      <c r="L74" s="21"/>
      <c r="M74" s="21"/>
      <c r="N74" s="21"/>
      <c r="O74" s="21"/>
    </row>
    <row r="75" spans="1:15" s="6" customFormat="1" ht="13.5" customHeight="1">
      <c r="A75" s="77" t="s">
        <v>727</v>
      </c>
      <c r="B75" s="85" t="s">
        <v>89</v>
      </c>
      <c r="C75" s="25" t="s">
        <v>12</v>
      </c>
      <c r="D75" s="98">
        <f>ROUND((D74*0.3),1)</f>
        <v>0.3</v>
      </c>
      <c r="E75" s="21"/>
      <c r="F75" s="21"/>
      <c r="G75" s="21"/>
      <c r="H75" s="184"/>
      <c r="I75" s="21"/>
      <c r="J75" s="20"/>
      <c r="K75" s="20"/>
      <c r="L75" s="20"/>
      <c r="M75" s="20"/>
      <c r="N75" s="20"/>
      <c r="O75" s="20"/>
    </row>
    <row r="76" spans="1:15" ht="14.25">
      <c r="A76" s="77" t="s">
        <v>728</v>
      </c>
      <c r="B76" s="85" t="s">
        <v>93</v>
      </c>
      <c r="C76" s="25" t="s">
        <v>12</v>
      </c>
      <c r="D76" s="95">
        <f>D74*0.15</f>
        <v>0.15</v>
      </c>
      <c r="E76" s="196"/>
      <c r="F76" s="20"/>
      <c r="G76" s="20"/>
      <c r="H76" s="196"/>
      <c r="I76" s="20"/>
      <c r="J76" s="20"/>
      <c r="K76" s="20"/>
      <c r="L76" s="20"/>
      <c r="M76" s="20"/>
      <c r="N76" s="20"/>
      <c r="O76" s="20"/>
    </row>
    <row r="77" spans="1:16" s="6" customFormat="1" ht="14.25">
      <c r="A77" s="77" t="s">
        <v>729</v>
      </c>
      <c r="B77" s="85" t="s">
        <v>92</v>
      </c>
      <c r="C77" s="25" t="s">
        <v>12</v>
      </c>
      <c r="D77" s="25">
        <f>D74*0.1</f>
        <v>0.1</v>
      </c>
      <c r="E77" s="196"/>
      <c r="F77" s="20"/>
      <c r="G77" s="196"/>
      <c r="H77" s="196"/>
      <c r="I77" s="21"/>
      <c r="J77" s="20"/>
      <c r="K77" s="20"/>
      <c r="L77" s="20"/>
      <c r="M77" s="20"/>
      <c r="N77" s="20"/>
      <c r="O77" s="38"/>
      <c r="P77" s="34"/>
    </row>
    <row r="78" spans="1:16" s="6" customFormat="1" ht="15.75" thickBot="1">
      <c r="A78" s="181"/>
      <c r="B78" s="169"/>
      <c r="C78" s="189"/>
      <c r="D78" s="189"/>
      <c r="E78" s="170"/>
      <c r="F78" s="190"/>
      <c r="G78" s="190"/>
      <c r="H78" s="170"/>
      <c r="I78" s="190"/>
      <c r="J78" s="190"/>
      <c r="K78" s="190"/>
      <c r="L78" s="190"/>
      <c r="M78" s="190"/>
      <c r="N78" s="190"/>
      <c r="O78" s="190"/>
      <c r="P78" s="34"/>
    </row>
    <row r="79" spans="1:16" s="6" customFormat="1" ht="13.5" thickTop="1">
      <c r="A79" s="173"/>
      <c r="B79" s="96" t="s">
        <v>654</v>
      </c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8"/>
      <c r="P79" s="34"/>
    </row>
    <row r="80" spans="1:16" s="6" customFormat="1" ht="25.5">
      <c r="A80" s="47"/>
      <c r="B80" s="171" t="s">
        <v>662</v>
      </c>
      <c r="C80" s="191"/>
      <c r="D80" s="17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34"/>
    </row>
    <row r="81" spans="1:15" s="64" customFormat="1" ht="12.75">
      <c r="A81" s="46" t="s">
        <v>34</v>
      </c>
      <c r="B81" s="188" t="s">
        <v>654</v>
      </c>
      <c r="C81" s="191"/>
      <c r="D81" s="172"/>
      <c r="E81" s="182"/>
      <c r="F81" s="182"/>
      <c r="G81" s="182"/>
      <c r="H81" s="182"/>
      <c r="I81" s="182"/>
      <c r="J81" s="182"/>
      <c r="K81" s="195"/>
      <c r="L81" s="195"/>
      <c r="M81" s="195"/>
      <c r="N81" s="195"/>
      <c r="O81" s="195"/>
    </row>
    <row r="82" spans="1:4" s="64" customFormat="1" ht="12.75">
      <c r="A82" s="48" t="s">
        <v>35</v>
      </c>
      <c r="B82" s="12"/>
      <c r="C82" s="63"/>
      <c r="D82" s="65"/>
    </row>
    <row r="83" spans="1:4" s="64" customFormat="1" ht="12.75">
      <c r="A83" s="48" t="s">
        <v>18</v>
      </c>
      <c r="B83" s="66"/>
      <c r="C83" s="66"/>
      <c r="D83" s="65"/>
    </row>
    <row r="84" spans="1:4" s="64" customFormat="1" ht="12.75">
      <c r="A84" s="48" t="s">
        <v>19</v>
      </c>
      <c r="B84" s="66"/>
      <c r="C84" s="66"/>
      <c r="D84" s="65"/>
    </row>
    <row r="85" spans="1:4" s="64" customFormat="1" ht="12.75">
      <c r="A85" s="48" t="s">
        <v>36</v>
      </c>
      <c r="B85" s="66"/>
      <c r="C85" s="66"/>
      <c r="D85" s="65"/>
    </row>
    <row r="86" spans="1:4" s="64" customFormat="1" ht="12.75">
      <c r="A86" s="48" t="s">
        <v>37</v>
      </c>
      <c r="B86" s="66"/>
      <c r="C86" s="66"/>
      <c r="D86" s="65"/>
    </row>
    <row r="87" spans="1:4" s="64" customFormat="1" ht="12.75">
      <c r="A87" s="48" t="s">
        <v>38</v>
      </c>
      <c r="B87" s="66"/>
      <c r="C87" s="66"/>
      <c r="D87" s="65"/>
    </row>
    <row r="88" spans="1:4" s="64" customFormat="1" ht="12.75">
      <c r="A88" s="48" t="s">
        <v>39</v>
      </c>
      <c r="B88" s="66"/>
      <c r="C88" s="66"/>
      <c r="D88" s="65"/>
    </row>
    <row r="89" spans="1:4" ht="12.75">
      <c r="A89" s="11" t="s">
        <v>20</v>
      </c>
      <c r="B89" s="67"/>
      <c r="C89" s="67"/>
      <c r="D89" s="68"/>
    </row>
    <row r="90" spans="2:3" ht="12.75">
      <c r="B90" s="67"/>
      <c r="C90" s="67"/>
    </row>
    <row r="91" spans="1:3" ht="12.75">
      <c r="A91" s="31" t="s">
        <v>7</v>
      </c>
      <c r="B91" s="180"/>
      <c r="C91" s="67"/>
    </row>
    <row r="92" ht="12.75">
      <c r="A92" s="31"/>
    </row>
    <row r="93" spans="1:2" ht="12.75">
      <c r="A93" s="31" t="s">
        <v>6</v>
      </c>
      <c r="B93" s="69"/>
    </row>
    <row r="94" spans="1:2" ht="12.75">
      <c r="A94" s="31"/>
      <c r="B94" s="31"/>
    </row>
    <row r="95" ht="12.75">
      <c r="B95" s="30"/>
    </row>
    <row r="96" ht="12.75">
      <c r="B96" s="30"/>
    </row>
  </sheetData>
  <sheetProtection/>
  <mergeCells count="26">
    <mergeCell ref="E9:J9"/>
    <mergeCell ref="K9:O9"/>
    <mergeCell ref="A3:D3"/>
    <mergeCell ref="A2:B2"/>
    <mergeCell ref="B5:D5"/>
    <mergeCell ref="B6:D6"/>
    <mergeCell ref="B7:D7"/>
    <mergeCell ref="B8:D8"/>
    <mergeCell ref="G8:I8"/>
    <mergeCell ref="J8:L8"/>
    <mergeCell ref="A19:D19"/>
    <mergeCell ref="A13:D13"/>
    <mergeCell ref="A22:D22"/>
    <mergeCell ref="A27:D27"/>
    <mergeCell ref="A14:D14"/>
    <mergeCell ref="A9:A10"/>
    <mergeCell ref="B9:B10"/>
    <mergeCell ref="C9:C10"/>
    <mergeCell ref="D9:D10"/>
    <mergeCell ref="A31:D31"/>
    <mergeCell ref="A34:D34"/>
    <mergeCell ref="A67:C67"/>
    <mergeCell ref="A64:D64"/>
    <mergeCell ref="A55:D55"/>
    <mergeCell ref="A40:D40"/>
    <mergeCell ref="A39:D39"/>
  </mergeCells>
  <printOptions horizontalCentered="1"/>
  <pageMargins left="0.3937007874015748" right="0.3937007874015748" top="0.7874015748031497" bottom="0.5905511811023623" header="0.31496062992125984" footer="0.3937007874015748"/>
  <pageSetup fitToHeight="0" fitToWidth="1" horizontalDpi="600" verticalDpi="600" orientation="landscape" paperSize="9" scale="78" r:id="rId1"/>
  <headerFooter alignWithMargins="0">
    <oddFooter>&amp;CLapaspuse &amp;P no &amp;N&amp;R&amp;A</oddFooter>
  </headerFooter>
  <rowBreaks count="1" manualBreakCount="1"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88"/>
  <sheetViews>
    <sheetView view="pageBreakPreview" zoomScaleSheetLayoutView="100" zoomScalePageLayoutView="0" workbookViewId="0" topLeftCell="A70">
      <selection activeCell="C75" sqref="C75"/>
    </sheetView>
  </sheetViews>
  <sheetFormatPr defaultColWidth="9.140625" defaultRowHeight="12.75" outlineLevelRow="1"/>
  <cols>
    <col min="1" max="1" width="13.8515625" style="130" customWidth="1"/>
    <col min="2" max="2" width="43.8515625" style="130" customWidth="1"/>
    <col min="3" max="3" width="12.28125" style="130" customWidth="1"/>
    <col min="4" max="4" width="12.140625" style="67" customWidth="1"/>
    <col min="5" max="5" width="7.7109375" style="130" customWidth="1"/>
    <col min="6" max="6" width="7.421875" style="130" customWidth="1"/>
    <col min="7" max="7" width="8.00390625" style="130" customWidth="1"/>
    <col min="8" max="8" width="9.421875" style="130" customWidth="1"/>
    <col min="9" max="9" width="7.00390625" style="130" customWidth="1"/>
    <col min="10" max="10" width="9.57421875" style="130" customWidth="1"/>
    <col min="11" max="11" width="8.28125" style="130" customWidth="1"/>
    <col min="12" max="12" width="9.421875" style="130" bestFit="1" customWidth="1"/>
    <col min="13" max="13" width="9.57421875" style="130" customWidth="1"/>
    <col min="14" max="14" width="9.421875" style="130" bestFit="1" customWidth="1"/>
    <col min="15" max="15" width="10.421875" style="130" bestFit="1" customWidth="1"/>
    <col min="16" max="16384" width="9.140625" style="130" customWidth="1"/>
  </cols>
  <sheetData>
    <row r="1" spans="6:9" ht="12.75" outlineLevel="1">
      <c r="F1" s="130">
        <v>5.41</v>
      </c>
      <c r="I1" s="131">
        <v>0.08</v>
      </c>
    </row>
    <row r="3" ht="13.5" thickBot="1">
      <c r="B3" s="134" t="s">
        <v>697</v>
      </c>
    </row>
    <row r="4" spans="1:15" ht="15.75" thickTop="1">
      <c r="A4" s="329" t="s">
        <v>201</v>
      </c>
      <c r="B4" s="329"/>
      <c r="C4" s="329"/>
      <c r="D4" s="32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25.5">
      <c r="A6" s="41" t="s">
        <v>21</v>
      </c>
      <c r="B6" s="331" t="s">
        <v>163</v>
      </c>
      <c r="C6" s="331"/>
      <c r="D6" s="331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2.75">
      <c r="A7" s="8" t="s">
        <v>22</v>
      </c>
      <c r="B7" s="320" t="str">
        <f>'LKT-4;Prīmulu'!B6:D6</f>
        <v>KDS "Ziedonis", Katlakalns, Ķekavas pagasts, Ķekavas novads</v>
      </c>
      <c r="C7" s="320"/>
      <c r="D7" s="320"/>
      <c r="E7" s="14"/>
      <c r="F7" s="14"/>
      <c r="G7" s="14"/>
      <c r="H7" s="14"/>
      <c r="I7" s="14"/>
      <c r="J7" s="14"/>
      <c r="K7" s="14"/>
      <c r="L7" s="8"/>
      <c r="M7" s="8"/>
      <c r="N7" s="8"/>
      <c r="O7" s="8"/>
    </row>
    <row r="8" spans="1:15" ht="12.75">
      <c r="A8" s="8"/>
      <c r="B8" s="320"/>
      <c r="C8" s="320"/>
      <c r="D8" s="320"/>
      <c r="E8" s="50"/>
      <c r="F8" s="50"/>
      <c r="G8" s="31"/>
      <c r="H8" s="1"/>
      <c r="I8" s="17" t="s">
        <v>8</v>
      </c>
      <c r="J8" s="2">
        <f>O76</f>
        <v>0</v>
      </c>
      <c r="K8" s="1" t="s">
        <v>685</v>
      </c>
      <c r="L8" s="53"/>
      <c r="M8" s="8"/>
      <c r="N8" s="8"/>
      <c r="O8" s="8"/>
    </row>
    <row r="9" spans="1:15" ht="13.5" thickBot="1">
      <c r="A9" s="8"/>
      <c r="B9" s="320"/>
      <c r="C9" s="320"/>
      <c r="D9" s="320"/>
      <c r="E9" s="52"/>
      <c r="F9" s="53"/>
      <c r="G9" s="322" t="s">
        <v>663</v>
      </c>
      <c r="H9" s="322"/>
      <c r="I9" s="322"/>
      <c r="J9" s="323" t="s">
        <v>686</v>
      </c>
      <c r="K9" s="323"/>
      <c r="L9" s="323"/>
      <c r="M9" s="53"/>
      <c r="N9" s="53"/>
      <c r="O9" s="53"/>
    </row>
    <row r="10" spans="1:15" ht="12.75">
      <c r="A10" s="324" t="s">
        <v>24</v>
      </c>
      <c r="B10" s="318" t="s">
        <v>25</v>
      </c>
      <c r="C10" s="327" t="s">
        <v>26</v>
      </c>
      <c r="D10" s="327" t="s">
        <v>27</v>
      </c>
      <c r="E10" s="318" t="s">
        <v>28</v>
      </c>
      <c r="F10" s="318"/>
      <c r="G10" s="318"/>
      <c r="H10" s="318"/>
      <c r="I10" s="318"/>
      <c r="J10" s="318"/>
      <c r="K10" s="318" t="s">
        <v>29</v>
      </c>
      <c r="L10" s="318" t="s">
        <v>29</v>
      </c>
      <c r="M10" s="318"/>
      <c r="N10" s="318"/>
      <c r="O10" s="321"/>
    </row>
    <row r="11" spans="1:15" ht="88.5" customHeight="1" thickBot="1">
      <c r="A11" s="325"/>
      <c r="B11" s="326"/>
      <c r="C11" s="328"/>
      <c r="D11" s="328"/>
      <c r="E11" s="32" t="s">
        <v>30</v>
      </c>
      <c r="F11" s="32" t="s">
        <v>678</v>
      </c>
      <c r="G11" s="32" t="s">
        <v>677</v>
      </c>
      <c r="H11" s="56" t="s">
        <v>679</v>
      </c>
      <c r="I11" s="32" t="s">
        <v>680</v>
      </c>
      <c r="J11" s="32" t="s">
        <v>681</v>
      </c>
      <c r="K11" s="32" t="s">
        <v>31</v>
      </c>
      <c r="L11" s="32" t="s">
        <v>682</v>
      </c>
      <c r="M11" s="32" t="s">
        <v>683</v>
      </c>
      <c r="N11" s="32" t="s">
        <v>680</v>
      </c>
      <c r="O11" s="57" t="s">
        <v>684</v>
      </c>
    </row>
    <row r="12" spans="1:15" ht="13.5" thickBot="1">
      <c r="A12" s="58">
        <v>1</v>
      </c>
      <c r="B12" s="59">
        <v>2</v>
      </c>
      <c r="C12" s="59">
        <v>3</v>
      </c>
      <c r="D12" s="59">
        <v>4</v>
      </c>
      <c r="E12" s="59">
        <v>5</v>
      </c>
      <c r="F12" s="59">
        <v>6</v>
      </c>
      <c r="G12" s="59">
        <v>7</v>
      </c>
      <c r="H12" s="59">
        <v>8</v>
      </c>
      <c r="I12" s="59">
        <v>9</v>
      </c>
      <c r="J12" s="59">
        <v>10</v>
      </c>
      <c r="K12" s="59">
        <v>11</v>
      </c>
      <c r="L12" s="59">
        <v>12</v>
      </c>
      <c r="M12" s="59">
        <v>13</v>
      </c>
      <c r="N12" s="59">
        <v>14</v>
      </c>
      <c r="O12" s="60">
        <v>15</v>
      </c>
    </row>
    <row r="13" spans="1:15" ht="16.5" thickBot="1">
      <c r="A13" s="314" t="s">
        <v>107</v>
      </c>
      <c r="B13" s="315"/>
      <c r="C13" s="315"/>
      <c r="D13" s="315"/>
      <c r="E13" s="73"/>
      <c r="F13" s="72"/>
      <c r="G13" s="72"/>
      <c r="H13" s="72"/>
      <c r="I13" s="72"/>
      <c r="J13" s="61"/>
      <c r="K13" s="61"/>
      <c r="L13" s="61"/>
      <c r="M13" s="61"/>
      <c r="N13" s="61"/>
      <c r="O13" s="112"/>
    </row>
    <row r="14" spans="1:15" ht="15.75" thickBot="1">
      <c r="A14" s="312" t="s">
        <v>106</v>
      </c>
      <c r="B14" s="313"/>
      <c r="C14" s="313"/>
      <c r="D14" s="319"/>
      <c r="E14" s="74"/>
      <c r="F14" s="75"/>
      <c r="G14" s="15"/>
      <c r="H14" s="15"/>
      <c r="I14" s="15"/>
      <c r="J14" s="42"/>
      <c r="K14" s="42"/>
      <c r="L14" s="42"/>
      <c r="M14" s="42"/>
      <c r="N14" s="42"/>
      <c r="O14" s="43"/>
    </row>
    <row r="15" spans="1:15" ht="12.75">
      <c r="A15" s="70" t="s">
        <v>396</v>
      </c>
      <c r="B15" s="76" t="s">
        <v>50</v>
      </c>
      <c r="C15" s="70" t="s">
        <v>32</v>
      </c>
      <c r="D15" s="70">
        <v>1</v>
      </c>
      <c r="E15" s="185"/>
      <c r="F15" s="21"/>
      <c r="G15" s="185"/>
      <c r="H15" s="193"/>
      <c r="I15" s="21"/>
      <c r="J15" s="21"/>
      <c r="K15" s="21"/>
      <c r="L15" s="21"/>
      <c r="M15" s="21"/>
      <c r="N15" s="21"/>
      <c r="O15" s="21"/>
    </row>
    <row r="16" spans="1:15" ht="25.5">
      <c r="A16" s="70" t="s">
        <v>397</v>
      </c>
      <c r="B16" s="78" t="s">
        <v>186</v>
      </c>
      <c r="C16" s="75" t="s">
        <v>16</v>
      </c>
      <c r="D16" s="70">
        <v>5</v>
      </c>
      <c r="E16" s="185"/>
      <c r="F16" s="21"/>
      <c r="G16" s="183"/>
      <c r="H16" s="183"/>
      <c r="I16" s="21"/>
      <c r="J16" s="21"/>
      <c r="K16" s="21"/>
      <c r="L16" s="21"/>
      <c r="M16" s="21"/>
      <c r="N16" s="21"/>
      <c r="O16" s="36"/>
    </row>
    <row r="17" spans="1:15" ht="13.5" thickBot="1">
      <c r="A17" s="70" t="s">
        <v>398</v>
      </c>
      <c r="B17" s="78" t="s">
        <v>45</v>
      </c>
      <c r="C17" s="79" t="s">
        <v>46</v>
      </c>
      <c r="D17" s="70">
        <v>1</v>
      </c>
      <c r="E17" s="21"/>
      <c r="F17" s="21"/>
      <c r="G17" s="185"/>
      <c r="H17" s="193"/>
      <c r="I17" s="21"/>
      <c r="J17" s="21"/>
      <c r="K17" s="202"/>
      <c r="L17" s="21"/>
      <c r="M17" s="21"/>
      <c r="N17" s="21"/>
      <c r="O17" s="21"/>
    </row>
    <row r="18" spans="1:15" ht="15.75" thickBot="1">
      <c r="A18" s="312" t="s">
        <v>105</v>
      </c>
      <c r="B18" s="313"/>
      <c r="C18" s="313"/>
      <c r="D18" s="319"/>
      <c r="E18" s="74"/>
      <c r="F18" s="75"/>
      <c r="G18" s="15"/>
      <c r="H18" s="15"/>
      <c r="I18" s="15"/>
      <c r="J18" s="42"/>
      <c r="K18" s="132"/>
      <c r="L18" s="132"/>
      <c r="M18" s="132"/>
      <c r="N18" s="132"/>
      <c r="O18" s="133"/>
    </row>
    <row r="19" spans="1:15" ht="25.5">
      <c r="A19" s="70" t="s">
        <v>399</v>
      </c>
      <c r="B19" s="10" t="s">
        <v>155</v>
      </c>
      <c r="C19" s="79" t="s">
        <v>664</v>
      </c>
      <c r="D19" s="70">
        <v>0.13</v>
      </c>
      <c r="E19" s="203"/>
      <c r="F19" s="21"/>
      <c r="G19" s="185"/>
      <c r="H19" s="183"/>
      <c r="I19" s="203"/>
      <c r="J19" s="21"/>
      <c r="K19" s="202"/>
      <c r="L19" s="21"/>
      <c r="M19" s="21"/>
      <c r="N19" s="21"/>
      <c r="O19" s="36"/>
    </row>
    <row r="20" spans="1:15" ht="57" customHeight="1" thickBot="1">
      <c r="A20" s="334" t="s">
        <v>104</v>
      </c>
      <c r="B20" s="335"/>
      <c r="C20" s="335"/>
      <c r="D20" s="336"/>
      <c r="E20" s="16"/>
      <c r="F20" s="70"/>
      <c r="G20" s="16"/>
      <c r="H20" s="16"/>
      <c r="I20" s="16"/>
      <c r="J20" s="21"/>
      <c r="K20" s="21"/>
      <c r="L20" s="132"/>
      <c r="M20" s="132"/>
      <c r="N20" s="132"/>
      <c r="O20" s="133"/>
    </row>
    <row r="21" spans="1:15" ht="12.75">
      <c r="A21" s="70" t="s">
        <v>400</v>
      </c>
      <c r="B21" s="82" t="s">
        <v>11</v>
      </c>
      <c r="C21" s="83" t="s">
        <v>41</v>
      </c>
      <c r="D21" s="125">
        <v>1</v>
      </c>
      <c r="E21" s="42"/>
      <c r="F21" s="192"/>
      <c r="G21" s="185"/>
      <c r="H21" s="194"/>
      <c r="I21" s="183"/>
      <c r="J21" s="42"/>
      <c r="K21" s="202"/>
      <c r="L21" s="21"/>
      <c r="M21" s="21"/>
      <c r="N21" s="21"/>
      <c r="O21" s="21"/>
    </row>
    <row r="22" spans="1:15" ht="12.75">
      <c r="A22" s="70" t="s">
        <v>401</v>
      </c>
      <c r="B22" s="82" t="s">
        <v>14</v>
      </c>
      <c r="C22" s="83" t="s">
        <v>41</v>
      </c>
      <c r="D22" s="125">
        <v>9</v>
      </c>
      <c r="E22" s="42"/>
      <c r="F22" s="192"/>
      <c r="G22" s="185"/>
      <c r="H22" s="194"/>
      <c r="I22" s="183"/>
      <c r="J22" s="42"/>
      <c r="K22" s="202"/>
      <c r="L22" s="21"/>
      <c r="M22" s="21"/>
      <c r="N22" s="21"/>
      <c r="O22" s="21"/>
    </row>
    <row r="23" spans="1:15" ht="13.5" thickBot="1">
      <c r="A23" s="70" t="s">
        <v>402</v>
      </c>
      <c r="B23" s="7" t="s">
        <v>69</v>
      </c>
      <c r="C23" s="24" t="s">
        <v>16</v>
      </c>
      <c r="D23" s="129">
        <v>5</v>
      </c>
      <c r="E23" s="184"/>
      <c r="F23" s="20"/>
      <c r="G23" s="185"/>
      <c r="H23" s="184"/>
      <c r="I23" s="21"/>
      <c r="J23" s="20"/>
      <c r="K23" s="20"/>
      <c r="L23" s="20"/>
      <c r="M23" s="20"/>
      <c r="N23" s="20"/>
      <c r="O23" s="20"/>
    </row>
    <row r="24" spans="1:15" ht="52.5" customHeight="1" thickBot="1">
      <c r="A24" s="312" t="s">
        <v>160</v>
      </c>
      <c r="B24" s="313"/>
      <c r="C24" s="313"/>
      <c r="D24" s="319"/>
      <c r="E24" s="86"/>
      <c r="F24" s="70"/>
      <c r="G24" s="16"/>
      <c r="H24" s="16"/>
      <c r="I24" s="16"/>
      <c r="J24" s="21"/>
      <c r="K24" s="132"/>
      <c r="L24" s="132"/>
      <c r="M24" s="132"/>
      <c r="N24" s="132"/>
      <c r="O24" s="133"/>
    </row>
    <row r="25" spans="1:15" ht="12.75">
      <c r="A25" s="70" t="s">
        <v>403</v>
      </c>
      <c r="B25" s="80" t="s">
        <v>200</v>
      </c>
      <c r="C25" s="70" t="s">
        <v>33</v>
      </c>
      <c r="D25" s="70">
        <v>72.2</v>
      </c>
      <c r="E25" s="185"/>
      <c r="F25" s="21"/>
      <c r="G25" s="21"/>
      <c r="H25" s="185"/>
      <c r="I25" s="21"/>
      <c r="J25" s="21"/>
      <c r="K25" s="21"/>
      <c r="L25" s="21"/>
      <c r="M25" s="21"/>
      <c r="N25" s="21"/>
      <c r="O25" s="36"/>
    </row>
    <row r="26" spans="1:15" ht="12.75">
      <c r="A26" s="70" t="s">
        <v>404</v>
      </c>
      <c r="B26" s="80" t="s">
        <v>164</v>
      </c>
      <c r="C26" s="70" t="s">
        <v>33</v>
      </c>
      <c r="D26" s="70">
        <v>17.3</v>
      </c>
      <c r="E26" s="185"/>
      <c r="F26" s="21"/>
      <c r="G26" s="21"/>
      <c r="H26" s="183"/>
      <c r="I26" s="183"/>
      <c r="J26" s="21"/>
      <c r="K26" s="21"/>
      <c r="L26" s="21"/>
      <c r="M26" s="21"/>
      <c r="N26" s="21"/>
      <c r="O26" s="36"/>
    </row>
    <row r="27" spans="1:15" ht="26.25" thickBot="1">
      <c r="A27" s="70" t="s">
        <v>405</v>
      </c>
      <c r="B27" s="81" t="s">
        <v>112</v>
      </c>
      <c r="C27" s="70" t="s">
        <v>33</v>
      </c>
      <c r="D27" s="70">
        <f>ROUND(22.5-7*0.06,1)</f>
        <v>22.1</v>
      </c>
      <c r="E27" s="185"/>
      <c r="F27" s="21"/>
      <c r="G27" s="21"/>
      <c r="H27" s="185"/>
      <c r="I27" s="21"/>
      <c r="J27" s="21"/>
      <c r="K27" s="21"/>
      <c r="L27" s="21"/>
      <c r="M27" s="21"/>
      <c r="N27" s="21"/>
      <c r="O27" s="36"/>
    </row>
    <row r="28" spans="1:15" ht="15.75" thickBot="1">
      <c r="A28" s="312" t="s">
        <v>103</v>
      </c>
      <c r="B28" s="313"/>
      <c r="C28" s="313"/>
      <c r="D28" s="319"/>
      <c r="E28" s="87"/>
      <c r="F28" s="70"/>
      <c r="G28" s="16"/>
      <c r="H28" s="16"/>
      <c r="I28" s="16"/>
      <c r="J28" s="21"/>
      <c r="K28" s="21"/>
      <c r="L28" s="21"/>
      <c r="M28" s="21"/>
      <c r="N28" s="21"/>
      <c r="O28" s="36"/>
    </row>
    <row r="29" spans="1:15" ht="12.75">
      <c r="A29" s="70" t="s">
        <v>406</v>
      </c>
      <c r="B29" s="81" t="s">
        <v>59</v>
      </c>
      <c r="C29" s="70" t="s">
        <v>33</v>
      </c>
      <c r="D29" s="70">
        <v>38</v>
      </c>
      <c r="E29" s="185"/>
      <c r="F29" s="21"/>
      <c r="G29" s="185"/>
      <c r="H29" s="185"/>
      <c r="I29" s="21"/>
      <c r="J29" s="21"/>
      <c r="K29" s="21"/>
      <c r="L29" s="21"/>
      <c r="M29" s="21"/>
      <c r="N29" s="21"/>
      <c r="O29" s="21"/>
    </row>
    <row r="30" spans="1:15" ht="13.5" thickBot="1">
      <c r="A30" s="70" t="s">
        <v>407</v>
      </c>
      <c r="B30" s="81" t="s">
        <v>99</v>
      </c>
      <c r="C30" s="70" t="s">
        <v>100</v>
      </c>
      <c r="D30" s="76">
        <v>21</v>
      </c>
      <c r="E30" s="185"/>
      <c r="F30" s="21"/>
      <c r="G30" s="185"/>
      <c r="H30" s="185"/>
      <c r="I30" s="21"/>
      <c r="J30" s="21"/>
      <c r="K30" s="21"/>
      <c r="L30" s="21"/>
      <c r="M30" s="21"/>
      <c r="N30" s="21"/>
      <c r="O30" s="21"/>
    </row>
    <row r="31" spans="1:15" ht="33.75" customHeight="1" thickBot="1">
      <c r="A31" s="312" t="s">
        <v>102</v>
      </c>
      <c r="B31" s="313"/>
      <c r="C31" s="313"/>
      <c r="D31" s="319"/>
      <c r="E31" s="87"/>
      <c r="F31" s="70"/>
      <c r="G31" s="16"/>
      <c r="H31" s="16"/>
      <c r="I31" s="16"/>
      <c r="J31" s="21"/>
      <c r="K31" s="21"/>
      <c r="L31" s="21"/>
      <c r="M31" s="21"/>
      <c r="N31" s="21"/>
      <c r="O31" s="36"/>
    </row>
    <row r="32" spans="1:15" ht="38.25">
      <c r="A32" s="70" t="s">
        <v>408</v>
      </c>
      <c r="B32" s="4" t="s">
        <v>187</v>
      </c>
      <c r="C32" s="79" t="s">
        <v>44</v>
      </c>
      <c r="D32" s="70">
        <f>ROUND(D25*1.25*1.2+D26*1.75*1.2+D27*1.25*1.2-D51-D40-D68-D69-D71,1)</f>
        <v>85.6</v>
      </c>
      <c r="E32" s="183"/>
      <c r="F32" s="21"/>
      <c r="G32" s="185"/>
      <c r="H32" s="183"/>
      <c r="I32" s="21"/>
      <c r="J32" s="21"/>
      <c r="K32" s="202"/>
      <c r="L32" s="21"/>
      <c r="M32" s="21"/>
      <c r="N32" s="21"/>
      <c r="O32" s="21"/>
    </row>
    <row r="33" spans="1:15" ht="38.25">
      <c r="A33" s="70" t="s">
        <v>409</v>
      </c>
      <c r="B33" s="85" t="s">
        <v>109</v>
      </c>
      <c r="C33" s="88" t="s">
        <v>44</v>
      </c>
      <c r="D33" s="70">
        <f>ROUND(D32*0.1,1)</f>
        <v>8.6</v>
      </c>
      <c r="E33" s="185"/>
      <c r="F33" s="21"/>
      <c r="G33" s="185"/>
      <c r="H33" s="185"/>
      <c r="I33" s="185"/>
      <c r="J33" s="21"/>
      <c r="K33" s="202"/>
      <c r="L33" s="21"/>
      <c r="M33" s="21"/>
      <c r="N33" s="21"/>
      <c r="O33" s="21"/>
    </row>
    <row r="34" spans="1:15" ht="12.75">
      <c r="A34" s="70" t="s">
        <v>410</v>
      </c>
      <c r="B34" s="7" t="s">
        <v>188</v>
      </c>
      <c r="C34" s="88" t="s">
        <v>44</v>
      </c>
      <c r="D34" s="25">
        <f>D33</f>
        <v>8.6</v>
      </c>
      <c r="E34" s="184"/>
      <c r="F34" s="20"/>
      <c r="G34" s="184"/>
      <c r="H34" s="184"/>
      <c r="I34" s="21"/>
      <c r="J34" s="20"/>
      <c r="K34" s="20"/>
      <c r="L34" s="20"/>
      <c r="M34" s="20"/>
      <c r="N34" s="20"/>
      <c r="O34" s="20"/>
    </row>
    <row r="35" spans="1:15" ht="26.25" thickBot="1">
      <c r="A35" s="70" t="s">
        <v>411</v>
      </c>
      <c r="B35" s="4" t="s">
        <v>110</v>
      </c>
      <c r="C35" s="79" t="s">
        <v>44</v>
      </c>
      <c r="D35" s="70">
        <f>D33+D51+D40+D68+D69</f>
        <v>98.8</v>
      </c>
      <c r="E35" s="185"/>
      <c r="F35" s="21"/>
      <c r="G35" s="185"/>
      <c r="H35" s="185"/>
      <c r="I35" s="185"/>
      <c r="J35" s="21"/>
      <c r="K35" s="202"/>
      <c r="L35" s="21"/>
      <c r="M35" s="21"/>
      <c r="N35" s="21"/>
      <c r="O35" s="21"/>
    </row>
    <row r="36" spans="1:15" ht="16.5" customHeight="1" thickBot="1">
      <c r="A36" s="314" t="s">
        <v>166</v>
      </c>
      <c r="B36" s="315"/>
      <c r="C36" s="315"/>
      <c r="D36" s="315"/>
      <c r="E36" s="86"/>
      <c r="F36" s="70"/>
      <c r="G36" s="16"/>
      <c r="H36" s="16"/>
      <c r="I36" s="70"/>
      <c r="J36" s="21"/>
      <c r="K36" s="21"/>
      <c r="L36" s="21"/>
      <c r="M36" s="21"/>
      <c r="N36" s="21"/>
      <c r="O36" s="36"/>
    </row>
    <row r="37" spans="1:15" ht="15.75" customHeight="1" thickBot="1">
      <c r="A37" s="312" t="s">
        <v>174</v>
      </c>
      <c r="B37" s="313"/>
      <c r="C37" s="313"/>
      <c r="D37" s="313"/>
      <c r="E37" s="86"/>
      <c r="F37" s="70"/>
      <c r="G37" s="16"/>
      <c r="H37" s="16"/>
      <c r="I37" s="70"/>
      <c r="J37" s="21"/>
      <c r="K37" s="21"/>
      <c r="L37" s="21"/>
      <c r="M37" s="21"/>
      <c r="N37" s="21"/>
      <c r="O37" s="36"/>
    </row>
    <row r="38" spans="1:15" ht="12.75">
      <c r="A38" s="70" t="s">
        <v>412</v>
      </c>
      <c r="B38" s="78" t="s">
        <v>85</v>
      </c>
      <c r="C38" s="70" t="s">
        <v>33</v>
      </c>
      <c r="D38" s="70">
        <f>D44</f>
        <v>89.5</v>
      </c>
      <c r="E38" s="183"/>
      <c r="F38" s="21"/>
      <c r="G38" s="185"/>
      <c r="H38" s="195"/>
      <c r="I38" s="21"/>
      <c r="J38" s="21"/>
      <c r="K38" s="202"/>
      <c r="L38" s="21"/>
      <c r="M38" s="21"/>
      <c r="N38" s="21"/>
      <c r="O38" s="21"/>
    </row>
    <row r="39" spans="1:15" ht="14.25">
      <c r="A39" s="70" t="s">
        <v>413</v>
      </c>
      <c r="B39" s="78" t="s">
        <v>168</v>
      </c>
      <c r="C39" s="70" t="s">
        <v>79</v>
      </c>
      <c r="D39" s="70">
        <f>ROUND((D42*0.41+D43*0.5+D44*0.65),1)</f>
        <v>68.1</v>
      </c>
      <c r="E39" s="185"/>
      <c r="F39" s="21"/>
      <c r="G39" s="185"/>
      <c r="H39" s="185"/>
      <c r="I39" s="185"/>
      <c r="J39" s="21"/>
      <c r="K39" s="202"/>
      <c r="L39" s="21"/>
      <c r="M39" s="21"/>
      <c r="N39" s="21"/>
      <c r="O39" s="21"/>
    </row>
    <row r="40" spans="1:15" ht="25.5">
      <c r="A40" s="70" t="s">
        <v>414</v>
      </c>
      <c r="B40" s="81" t="s">
        <v>687</v>
      </c>
      <c r="C40" s="25" t="s">
        <v>12</v>
      </c>
      <c r="D40" s="25">
        <f>ROUND((D42*0.0615+D43*0.075+D44*0.065),1)</f>
        <v>7.3</v>
      </c>
      <c r="E40" s="184"/>
      <c r="F40" s="20"/>
      <c r="G40" s="184"/>
      <c r="H40" s="184"/>
      <c r="I40" s="21"/>
      <c r="J40" s="20"/>
      <c r="K40" s="20"/>
      <c r="L40" s="20"/>
      <c r="M40" s="20"/>
      <c r="N40" s="20"/>
      <c r="O40" s="20"/>
    </row>
    <row r="41" spans="1:15" ht="25.5">
      <c r="A41" s="70" t="s">
        <v>415</v>
      </c>
      <c r="B41" s="85" t="s">
        <v>688</v>
      </c>
      <c r="C41" s="70" t="s">
        <v>33</v>
      </c>
      <c r="D41" s="70">
        <f>SUM(D42:D44)</f>
        <v>112.6</v>
      </c>
      <c r="E41" s="185"/>
      <c r="F41" s="21"/>
      <c r="G41" s="185"/>
      <c r="H41" s="185"/>
      <c r="I41" s="185"/>
      <c r="J41" s="21"/>
      <c r="K41" s="202"/>
      <c r="L41" s="21"/>
      <c r="M41" s="21"/>
      <c r="N41" s="21"/>
      <c r="O41" s="21"/>
    </row>
    <row r="42" spans="1:15" ht="12.75">
      <c r="A42" s="70" t="s">
        <v>416</v>
      </c>
      <c r="B42" s="90" t="s">
        <v>170</v>
      </c>
      <c r="C42" s="25" t="s">
        <v>33</v>
      </c>
      <c r="D42" s="70">
        <v>17.6</v>
      </c>
      <c r="E42" s="184"/>
      <c r="F42" s="20"/>
      <c r="G42" s="184"/>
      <c r="H42" s="184"/>
      <c r="I42" s="21"/>
      <c r="J42" s="20"/>
      <c r="K42" s="20"/>
      <c r="L42" s="20"/>
      <c r="M42" s="20"/>
      <c r="N42" s="20"/>
      <c r="O42" s="20"/>
    </row>
    <row r="43" spans="1:15" ht="12.75">
      <c r="A43" s="70" t="s">
        <v>417</v>
      </c>
      <c r="B43" s="90" t="s">
        <v>192</v>
      </c>
      <c r="C43" s="25"/>
      <c r="D43" s="70">
        <v>5.5</v>
      </c>
      <c r="E43" s="196"/>
      <c r="F43" s="20"/>
      <c r="G43" s="196"/>
      <c r="H43" s="184"/>
      <c r="I43" s="21"/>
      <c r="J43" s="20"/>
      <c r="K43" s="20"/>
      <c r="L43" s="20"/>
      <c r="M43" s="20"/>
      <c r="N43" s="20"/>
      <c r="O43" s="38"/>
    </row>
    <row r="44" spans="1:15" ht="12.75">
      <c r="A44" s="70" t="s">
        <v>418</v>
      </c>
      <c r="B44" s="90" t="s">
        <v>169</v>
      </c>
      <c r="C44" s="25" t="s">
        <v>33</v>
      </c>
      <c r="D44" s="70">
        <v>89.5</v>
      </c>
      <c r="E44" s="184"/>
      <c r="F44" s="20"/>
      <c r="G44" s="184"/>
      <c r="H44" s="184"/>
      <c r="I44" s="21"/>
      <c r="J44" s="20"/>
      <c r="K44" s="20"/>
      <c r="L44" s="20"/>
      <c r="M44" s="20"/>
      <c r="N44" s="20"/>
      <c r="O44" s="20"/>
    </row>
    <row r="45" spans="1:15" ht="38.25">
      <c r="A45" s="70" t="s">
        <v>419</v>
      </c>
      <c r="B45" s="85" t="s">
        <v>691</v>
      </c>
      <c r="C45" s="88" t="s">
        <v>42</v>
      </c>
      <c r="D45" s="105">
        <f>D44</f>
        <v>89.5</v>
      </c>
      <c r="E45" s="184"/>
      <c r="F45" s="20"/>
      <c r="G45" s="184"/>
      <c r="H45" s="184"/>
      <c r="I45" s="21"/>
      <c r="J45" s="20"/>
      <c r="K45" s="20"/>
      <c r="L45" s="20"/>
      <c r="M45" s="20"/>
      <c r="N45" s="20"/>
      <c r="O45" s="20"/>
    </row>
    <row r="46" spans="1:15" ht="38.25">
      <c r="A46" s="70" t="s">
        <v>420</v>
      </c>
      <c r="B46" s="4" t="s">
        <v>193</v>
      </c>
      <c r="C46" s="70" t="s">
        <v>16</v>
      </c>
      <c r="D46" s="70">
        <v>5</v>
      </c>
      <c r="E46" s="185"/>
      <c r="F46" s="21"/>
      <c r="G46" s="185"/>
      <c r="H46" s="183"/>
      <c r="I46" s="21"/>
      <c r="J46" s="21"/>
      <c r="K46" s="202"/>
      <c r="L46" s="21"/>
      <c r="M46" s="21"/>
      <c r="N46" s="21"/>
      <c r="O46" s="21"/>
    </row>
    <row r="47" spans="1:15" ht="51">
      <c r="A47" s="70" t="s">
        <v>421</v>
      </c>
      <c r="B47" s="7" t="s">
        <v>213</v>
      </c>
      <c r="C47" s="9" t="s">
        <v>32</v>
      </c>
      <c r="D47" s="25">
        <f>D46</f>
        <v>5</v>
      </c>
      <c r="E47" s="184"/>
      <c r="F47" s="20"/>
      <c r="G47" s="184"/>
      <c r="H47" s="184"/>
      <c r="I47" s="21"/>
      <c r="J47" s="20"/>
      <c r="K47" s="20"/>
      <c r="L47" s="20"/>
      <c r="M47" s="20"/>
      <c r="N47" s="20"/>
      <c r="O47" s="20"/>
    </row>
    <row r="48" spans="1:15" ht="25.5">
      <c r="A48" s="70" t="s">
        <v>422</v>
      </c>
      <c r="B48" s="91" t="s">
        <v>673</v>
      </c>
      <c r="C48" s="92" t="s">
        <v>33</v>
      </c>
      <c r="D48" s="70">
        <v>51.5</v>
      </c>
      <c r="E48" s="185"/>
      <c r="F48" s="21"/>
      <c r="G48" s="185"/>
      <c r="H48" s="185"/>
      <c r="I48" s="21"/>
      <c r="J48" s="21"/>
      <c r="K48" s="21"/>
      <c r="L48" s="21"/>
      <c r="M48" s="21"/>
      <c r="N48" s="21"/>
      <c r="O48" s="21"/>
    </row>
    <row r="49" spans="1:15" ht="25.5">
      <c r="A49" s="70" t="s">
        <v>423</v>
      </c>
      <c r="B49" s="85" t="s">
        <v>3</v>
      </c>
      <c r="C49" s="25" t="s">
        <v>157</v>
      </c>
      <c r="D49" s="25">
        <f>D48</f>
        <v>51.5</v>
      </c>
      <c r="E49" s="184"/>
      <c r="F49" s="20"/>
      <c r="G49" s="184"/>
      <c r="H49" s="184"/>
      <c r="I49" s="21"/>
      <c r="J49" s="20"/>
      <c r="K49" s="20"/>
      <c r="L49" s="20"/>
      <c r="M49" s="20"/>
      <c r="N49" s="20"/>
      <c r="O49" s="20"/>
    </row>
    <row r="50" spans="1:15" ht="25.5">
      <c r="A50" s="70" t="s">
        <v>424</v>
      </c>
      <c r="B50" s="81" t="s">
        <v>690</v>
      </c>
      <c r="C50" s="70" t="s">
        <v>79</v>
      </c>
      <c r="D50" s="70">
        <f>D39</f>
        <v>68.1</v>
      </c>
      <c r="E50" s="185"/>
      <c r="F50" s="21"/>
      <c r="G50" s="185"/>
      <c r="H50" s="185"/>
      <c r="I50" s="185"/>
      <c r="J50" s="21"/>
      <c r="K50" s="202"/>
      <c r="L50" s="21"/>
      <c r="M50" s="21"/>
      <c r="N50" s="21"/>
      <c r="O50" s="21"/>
    </row>
    <row r="51" spans="1:15" ht="25.5">
      <c r="A51" s="70" t="s">
        <v>425</v>
      </c>
      <c r="B51" s="85" t="s">
        <v>689</v>
      </c>
      <c r="C51" s="88" t="s">
        <v>12</v>
      </c>
      <c r="D51" s="105">
        <f>ROUND((D42*0.12+D43*0.18+D44*0.2434),1)</f>
        <v>24.9</v>
      </c>
      <c r="E51" s="196"/>
      <c r="F51" s="20"/>
      <c r="G51" s="196"/>
      <c r="H51" s="196"/>
      <c r="I51" s="196"/>
      <c r="J51" s="20"/>
      <c r="K51" s="20"/>
      <c r="L51" s="20"/>
      <c r="M51" s="20"/>
      <c r="N51" s="20"/>
      <c r="O51" s="38"/>
    </row>
    <row r="52" spans="1:15" ht="12.75">
      <c r="A52" s="70" t="s">
        <v>426</v>
      </c>
      <c r="B52" s="89" t="s">
        <v>86</v>
      </c>
      <c r="C52" s="70" t="s">
        <v>33</v>
      </c>
      <c r="D52" s="70">
        <f>D38</f>
        <v>89.5</v>
      </c>
      <c r="E52" s="183"/>
      <c r="F52" s="21"/>
      <c r="G52" s="185"/>
      <c r="H52" s="183"/>
      <c r="I52" s="21"/>
      <c r="J52" s="21"/>
      <c r="K52" s="202"/>
      <c r="L52" s="21"/>
      <c r="M52" s="21"/>
      <c r="N52" s="21"/>
      <c r="O52" s="36"/>
    </row>
    <row r="53" spans="1:15" ht="13.5" thickBot="1">
      <c r="A53" s="70" t="s">
        <v>427</v>
      </c>
      <c r="B53" s="90" t="s">
        <v>17</v>
      </c>
      <c r="C53" s="25" t="s">
        <v>33</v>
      </c>
      <c r="D53" s="25">
        <f>D52</f>
        <v>89.5</v>
      </c>
      <c r="E53" s="196"/>
      <c r="F53" s="20"/>
      <c r="G53" s="196"/>
      <c r="H53" s="196"/>
      <c r="I53" s="21"/>
      <c r="J53" s="20"/>
      <c r="K53" s="20"/>
      <c r="L53" s="20"/>
      <c r="M53" s="20"/>
      <c r="N53" s="20"/>
      <c r="O53" s="38"/>
    </row>
    <row r="54" spans="1:15" ht="15" customHeight="1" thickBot="1">
      <c r="A54" s="312" t="s">
        <v>202</v>
      </c>
      <c r="B54" s="313"/>
      <c r="C54" s="313"/>
      <c r="D54" s="313"/>
      <c r="E54" s="86"/>
      <c r="F54" s="70"/>
      <c r="G54" s="16"/>
      <c r="H54" s="16"/>
      <c r="I54" s="70"/>
      <c r="J54" s="21"/>
      <c r="K54" s="21"/>
      <c r="L54" s="21"/>
      <c r="M54" s="21"/>
      <c r="N54" s="21"/>
      <c r="O54" s="36"/>
    </row>
    <row r="55" spans="1:15" ht="38.25">
      <c r="A55" s="75" t="s">
        <v>428</v>
      </c>
      <c r="B55" s="96" t="s">
        <v>189</v>
      </c>
      <c r="C55" s="75" t="s">
        <v>16</v>
      </c>
      <c r="D55" s="75">
        <f>SUM(D56:D57)</f>
        <v>4</v>
      </c>
      <c r="E55" s="185"/>
      <c r="F55" s="21"/>
      <c r="G55" s="185"/>
      <c r="H55" s="185"/>
      <c r="I55" s="21"/>
      <c r="J55" s="21"/>
      <c r="K55" s="202"/>
      <c r="L55" s="21"/>
      <c r="M55" s="21"/>
      <c r="N55" s="21"/>
      <c r="O55" s="36"/>
    </row>
    <row r="56" spans="1:15" ht="25.5">
      <c r="A56" s="75" t="s">
        <v>429</v>
      </c>
      <c r="B56" s="93" t="s">
        <v>198</v>
      </c>
      <c r="C56" s="25" t="s">
        <v>32</v>
      </c>
      <c r="D56" s="25">
        <v>3</v>
      </c>
      <c r="E56" s="184"/>
      <c r="F56" s="20"/>
      <c r="G56" s="184"/>
      <c r="H56" s="184"/>
      <c r="I56" s="21"/>
      <c r="J56" s="20"/>
      <c r="K56" s="20"/>
      <c r="L56" s="20"/>
      <c r="M56" s="20"/>
      <c r="N56" s="20"/>
      <c r="O56" s="20"/>
    </row>
    <row r="57" spans="1:15" ht="25.5">
      <c r="A57" s="75" t="s">
        <v>430</v>
      </c>
      <c r="B57" s="93" t="s">
        <v>197</v>
      </c>
      <c r="C57" s="25" t="s">
        <v>32</v>
      </c>
      <c r="D57" s="25">
        <v>1</v>
      </c>
      <c r="E57" s="184"/>
      <c r="F57" s="20"/>
      <c r="G57" s="184"/>
      <c r="H57" s="97"/>
      <c r="I57" s="21"/>
      <c r="J57" s="20"/>
      <c r="K57" s="20"/>
      <c r="L57" s="20"/>
      <c r="M57" s="20"/>
      <c r="N57" s="20"/>
      <c r="O57" s="20"/>
    </row>
    <row r="58" spans="1:15" ht="38.25">
      <c r="A58" s="75" t="s">
        <v>431</v>
      </c>
      <c r="B58" s="81" t="s">
        <v>670</v>
      </c>
      <c r="C58" s="70" t="s">
        <v>16</v>
      </c>
      <c r="D58" s="70">
        <v>2</v>
      </c>
      <c r="E58" s="185"/>
      <c r="F58" s="21"/>
      <c r="G58" s="185"/>
      <c r="H58" s="185"/>
      <c r="I58" s="21"/>
      <c r="J58" s="21"/>
      <c r="K58" s="202"/>
      <c r="L58" s="21"/>
      <c r="M58" s="21"/>
      <c r="N58" s="21"/>
      <c r="O58" s="36"/>
    </row>
    <row r="59" spans="1:15" ht="38.25">
      <c r="A59" s="75" t="s">
        <v>432</v>
      </c>
      <c r="B59" s="93" t="s">
        <v>671</v>
      </c>
      <c r="C59" s="25" t="s">
        <v>672</v>
      </c>
      <c r="D59" s="70">
        <v>2</v>
      </c>
      <c r="E59" s="184"/>
      <c r="F59" s="20"/>
      <c r="G59" s="184"/>
      <c r="H59" s="97"/>
      <c r="I59" s="21"/>
      <c r="J59" s="20"/>
      <c r="K59" s="20"/>
      <c r="L59" s="20"/>
      <c r="M59" s="20"/>
      <c r="N59" s="20"/>
      <c r="O59" s="20"/>
    </row>
    <row r="60" spans="1:15" ht="12.75">
      <c r="A60" s="75" t="s">
        <v>433</v>
      </c>
      <c r="B60" s="93" t="s">
        <v>185</v>
      </c>
      <c r="C60" s="25" t="s">
        <v>16</v>
      </c>
      <c r="D60" s="25">
        <v>2</v>
      </c>
      <c r="E60" s="184"/>
      <c r="F60" s="20"/>
      <c r="G60" s="184"/>
      <c r="H60" s="97"/>
      <c r="I60" s="21"/>
      <c r="J60" s="20"/>
      <c r="K60" s="20"/>
      <c r="L60" s="20"/>
      <c r="M60" s="20"/>
      <c r="N60" s="20"/>
      <c r="O60" s="20"/>
    </row>
    <row r="61" spans="1:15" ht="14.25">
      <c r="A61" s="75" t="s">
        <v>434</v>
      </c>
      <c r="B61" s="7" t="s">
        <v>1</v>
      </c>
      <c r="C61" s="25" t="s">
        <v>12</v>
      </c>
      <c r="D61" s="25">
        <f>ROUND(D58*0.13,1)</f>
        <v>0.3</v>
      </c>
      <c r="E61" s="196"/>
      <c r="F61" s="20"/>
      <c r="G61" s="196"/>
      <c r="H61" s="196"/>
      <c r="I61" s="21"/>
      <c r="J61" s="20"/>
      <c r="K61" s="20"/>
      <c r="L61" s="20"/>
      <c r="M61" s="20"/>
      <c r="N61" s="20"/>
      <c r="O61" s="38"/>
    </row>
    <row r="62" spans="1:15" ht="14.25">
      <c r="A62" s="75" t="s">
        <v>435</v>
      </c>
      <c r="B62" s="7" t="s">
        <v>2</v>
      </c>
      <c r="C62" s="25" t="s">
        <v>12</v>
      </c>
      <c r="D62" s="25">
        <f>ROUND(D58*0.14,1)</f>
        <v>0.3</v>
      </c>
      <c r="E62" s="196"/>
      <c r="F62" s="20"/>
      <c r="G62" s="196"/>
      <c r="H62" s="196"/>
      <c r="I62" s="21"/>
      <c r="J62" s="20"/>
      <c r="K62" s="20"/>
      <c r="L62" s="20"/>
      <c r="M62" s="20"/>
      <c r="N62" s="20"/>
      <c r="O62" s="38"/>
    </row>
    <row r="63" spans="1:15" ht="15.75" thickBot="1">
      <c r="A63" s="334" t="s">
        <v>149</v>
      </c>
      <c r="B63" s="335"/>
      <c r="C63" s="335"/>
      <c r="D63" s="335"/>
      <c r="E63" s="86"/>
      <c r="F63" s="70"/>
      <c r="G63" s="16"/>
      <c r="H63" s="16"/>
      <c r="I63" s="70"/>
      <c r="J63" s="21"/>
      <c r="K63" s="21"/>
      <c r="L63" s="21"/>
      <c r="M63" s="21"/>
      <c r="N63" s="21"/>
      <c r="O63" s="36"/>
    </row>
    <row r="64" spans="1:15" ht="12.75">
      <c r="A64" s="70" t="s">
        <v>436</v>
      </c>
      <c r="B64" s="81" t="s">
        <v>203</v>
      </c>
      <c r="C64" s="70" t="s">
        <v>33</v>
      </c>
      <c r="D64" s="124">
        <f>D38</f>
        <v>89.5</v>
      </c>
      <c r="E64" s="185"/>
      <c r="F64" s="21"/>
      <c r="G64" s="185"/>
      <c r="H64" s="185"/>
      <c r="I64" s="21"/>
      <c r="J64" s="21"/>
      <c r="K64" s="202"/>
      <c r="L64" s="21"/>
      <c r="M64" s="21"/>
      <c r="N64" s="21"/>
      <c r="O64" s="36"/>
    </row>
    <row r="65" spans="1:15" ht="26.25" thickBot="1">
      <c r="A65" s="70" t="s">
        <v>437</v>
      </c>
      <c r="B65" s="81" t="s">
        <v>4</v>
      </c>
      <c r="C65" s="70" t="s">
        <v>16</v>
      </c>
      <c r="D65" s="124">
        <v>1</v>
      </c>
      <c r="E65" s="87"/>
      <c r="F65" s="70"/>
      <c r="G65" s="16"/>
      <c r="H65" s="16"/>
      <c r="I65" s="21"/>
      <c r="J65" s="21"/>
      <c r="K65" s="202"/>
      <c r="L65" s="21"/>
      <c r="M65" s="21"/>
      <c r="N65" s="21"/>
      <c r="O65" s="36"/>
    </row>
    <row r="66" spans="1:15" ht="15.75" thickBot="1">
      <c r="A66" s="332" t="s">
        <v>101</v>
      </c>
      <c r="B66" s="333"/>
      <c r="C66" s="333"/>
      <c r="D66" s="100"/>
      <c r="E66" s="87"/>
      <c r="F66" s="70"/>
      <c r="G66" s="16"/>
      <c r="H66" s="16"/>
      <c r="I66" s="16"/>
      <c r="J66" s="21"/>
      <c r="K66" s="132"/>
      <c r="L66" s="132"/>
      <c r="M66" s="132"/>
      <c r="N66" s="132"/>
      <c r="O66" s="133"/>
    </row>
    <row r="67" spans="1:15" ht="14.25">
      <c r="A67" s="70" t="s">
        <v>438</v>
      </c>
      <c r="B67" s="96" t="s">
        <v>81</v>
      </c>
      <c r="C67" s="75" t="s">
        <v>661</v>
      </c>
      <c r="D67" s="127">
        <v>1</v>
      </c>
      <c r="E67" s="185"/>
      <c r="F67" s="21"/>
      <c r="G67" s="185"/>
      <c r="H67" s="185"/>
      <c r="I67" s="21"/>
      <c r="J67" s="21"/>
      <c r="K67" s="202"/>
      <c r="L67" s="21"/>
      <c r="M67" s="21"/>
      <c r="N67" s="21"/>
      <c r="O67" s="21"/>
    </row>
    <row r="68" spans="1:15" ht="14.25">
      <c r="A68" s="70" t="s">
        <v>439</v>
      </c>
      <c r="B68" s="85" t="s">
        <v>88</v>
      </c>
      <c r="C68" s="25" t="s">
        <v>12</v>
      </c>
      <c r="D68" s="25">
        <f>ROUND((100*D67*0.28),1)</f>
        <v>28</v>
      </c>
      <c r="E68" s="21"/>
      <c r="F68" s="21"/>
      <c r="G68" s="21"/>
      <c r="H68" s="184"/>
      <c r="I68" s="21"/>
      <c r="J68" s="20"/>
      <c r="K68" s="20"/>
      <c r="L68" s="20"/>
      <c r="M68" s="20"/>
      <c r="N68" s="20"/>
      <c r="O68" s="20"/>
    </row>
    <row r="69" spans="1:15" ht="25.5">
      <c r="A69" s="70" t="s">
        <v>440</v>
      </c>
      <c r="B69" s="85" t="s">
        <v>89</v>
      </c>
      <c r="C69" s="25" t="s">
        <v>12</v>
      </c>
      <c r="D69" s="25">
        <f>ROUND((100*D67*0.3),1)</f>
        <v>30</v>
      </c>
      <c r="E69" s="21"/>
      <c r="F69" s="21"/>
      <c r="G69" s="21"/>
      <c r="H69" s="184"/>
      <c r="I69" s="21"/>
      <c r="J69" s="20"/>
      <c r="K69" s="20"/>
      <c r="L69" s="20"/>
      <c r="M69" s="20"/>
      <c r="N69" s="20"/>
      <c r="O69" s="20"/>
    </row>
    <row r="70" spans="1:15" ht="14.25">
      <c r="A70" s="70" t="s">
        <v>441</v>
      </c>
      <c r="B70" s="81" t="s">
        <v>82</v>
      </c>
      <c r="C70" s="75" t="s">
        <v>661</v>
      </c>
      <c r="D70" s="70">
        <f>D19</f>
        <v>0.13</v>
      </c>
      <c r="E70" s="185"/>
      <c r="F70" s="21"/>
      <c r="G70" s="185"/>
      <c r="H70" s="185"/>
      <c r="I70" s="185"/>
      <c r="J70" s="21"/>
      <c r="K70" s="202"/>
      <c r="L70" s="21"/>
      <c r="M70" s="21"/>
      <c r="N70" s="21"/>
      <c r="O70" s="21"/>
    </row>
    <row r="71" spans="1:15" ht="14.25">
      <c r="A71" s="70" t="s">
        <v>730</v>
      </c>
      <c r="B71" s="85" t="s">
        <v>90</v>
      </c>
      <c r="C71" s="25" t="s">
        <v>12</v>
      </c>
      <c r="D71" s="98">
        <f>D70*0.15*100</f>
        <v>1.95</v>
      </c>
      <c r="E71" s="201"/>
      <c r="F71" s="186"/>
      <c r="G71" s="186"/>
      <c r="H71" s="187"/>
      <c r="I71" s="21"/>
      <c r="J71" s="20"/>
      <c r="K71" s="20"/>
      <c r="L71" s="20"/>
      <c r="M71" s="20"/>
      <c r="N71" s="20"/>
      <c r="O71" s="20"/>
    </row>
    <row r="72" spans="1:15" ht="12.75">
      <c r="A72" s="70" t="s">
        <v>731</v>
      </c>
      <c r="B72" s="85" t="s">
        <v>190</v>
      </c>
      <c r="C72" s="25" t="s">
        <v>40</v>
      </c>
      <c r="D72" s="25">
        <f>ROUND((100*D70*0.03),1)</f>
        <v>0.4</v>
      </c>
      <c r="E72" s="201"/>
      <c r="F72" s="186"/>
      <c r="G72" s="186"/>
      <c r="H72" s="187"/>
      <c r="I72" s="21"/>
      <c r="J72" s="20"/>
      <c r="K72" s="20"/>
      <c r="L72" s="20"/>
      <c r="M72" s="20"/>
      <c r="N72" s="20"/>
      <c r="O72" s="20"/>
    </row>
    <row r="73" spans="1:15" ht="15.75" thickBot="1">
      <c r="A73" s="181"/>
      <c r="B73" s="169"/>
      <c r="C73" s="189"/>
      <c r="D73" s="189"/>
      <c r="E73" s="170"/>
      <c r="F73" s="190"/>
      <c r="G73" s="190"/>
      <c r="H73" s="170"/>
      <c r="I73" s="190"/>
      <c r="J73" s="190"/>
      <c r="K73" s="190"/>
      <c r="L73" s="190"/>
      <c r="M73" s="190"/>
      <c r="N73" s="190"/>
      <c r="O73" s="190"/>
    </row>
    <row r="74" spans="1:15" ht="13.5" thickTop="1">
      <c r="A74" s="173"/>
      <c r="B74" s="96" t="s">
        <v>654</v>
      </c>
      <c r="C74" s="174"/>
      <c r="D74" s="175"/>
      <c r="E74" s="176"/>
      <c r="F74" s="176"/>
      <c r="G74" s="176"/>
      <c r="H74" s="176"/>
      <c r="I74" s="176"/>
      <c r="J74" s="177"/>
      <c r="K74" s="178"/>
      <c r="L74" s="178"/>
      <c r="M74" s="178"/>
      <c r="N74" s="178"/>
      <c r="O74" s="178"/>
    </row>
    <row r="75" spans="1:15" ht="25.5">
      <c r="A75" s="47"/>
      <c r="B75" s="171" t="s">
        <v>662</v>
      </c>
      <c r="C75" s="191"/>
      <c r="D75" s="17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</row>
    <row r="76" spans="1:15" ht="12.75">
      <c r="A76" s="46" t="s">
        <v>34</v>
      </c>
      <c r="B76" s="188" t="s">
        <v>654</v>
      </c>
      <c r="C76" s="191"/>
      <c r="D76" s="172"/>
      <c r="E76" s="182"/>
      <c r="F76" s="182"/>
      <c r="G76" s="182"/>
      <c r="H76" s="182"/>
      <c r="I76" s="182"/>
      <c r="J76" s="182"/>
      <c r="K76" s="195"/>
      <c r="L76" s="195"/>
      <c r="M76" s="195"/>
      <c r="N76" s="195"/>
      <c r="O76" s="195"/>
    </row>
    <row r="77" spans="1:15" ht="12.75">
      <c r="A77" s="48" t="s">
        <v>35</v>
      </c>
      <c r="B77" s="12"/>
      <c r="C77" s="63"/>
      <c r="D77" s="65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</row>
    <row r="78" spans="1:15" ht="12.75">
      <c r="A78" s="48" t="s">
        <v>18</v>
      </c>
      <c r="B78" s="66"/>
      <c r="C78" s="66"/>
      <c r="D78" s="65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</row>
    <row r="79" spans="1:15" ht="12.75">
      <c r="A79" s="48" t="s">
        <v>19</v>
      </c>
      <c r="B79" s="66"/>
      <c r="C79" s="66"/>
      <c r="D79" s="65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</row>
    <row r="80" spans="1:15" ht="12.75">
      <c r="A80" s="48" t="s">
        <v>36</v>
      </c>
      <c r="B80" s="66"/>
      <c r="C80" s="66"/>
      <c r="D80" s="65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</row>
    <row r="81" spans="1:15" ht="12.75">
      <c r="A81" s="48" t="s">
        <v>37</v>
      </c>
      <c r="B81" s="66"/>
      <c r="C81" s="66"/>
      <c r="D81" s="65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</row>
    <row r="82" spans="1:15" ht="12.75">
      <c r="A82" s="48" t="s">
        <v>38</v>
      </c>
      <c r="B82" s="66"/>
      <c r="C82" s="66"/>
      <c r="D82" s="65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</row>
    <row r="83" spans="1:15" ht="12.75">
      <c r="A83" s="48" t="s">
        <v>39</v>
      </c>
      <c r="B83" s="66"/>
      <c r="C83" s="66"/>
      <c r="D83" s="65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</row>
    <row r="84" spans="1:4" ht="12.75">
      <c r="A84" s="11" t="s">
        <v>20</v>
      </c>
      <c r="B84" s="67"/>
      <c r="C84" s="67"/>
      <c r="D84" s="68"/>
    </row>
    <row r="85" spans="2:3" ht="12.75">
      <c r="B85" s="67"/>
      <c r="C85" s="67"/>
    </row>
    <row r="86" spans="1:3" ht="12.75">
      <c r="A86" s="31" t="s">
        <v>7</v>
      </c>
      <c r="B86" s="180"/>
      <c r="C86" s="67"/>
    </row>
    <row r="87" ht="12.75">
      <c r="A87" s="31"/>
    </row>
    <row r="88" spans="1:2" ht="12.75">
      <c r="A88" s="31" t="s">
        <v>6</v>
      </c>
      <c r="B88" s="69"/>
    </row>
  </sheetData>
  <sheetProtection/>
  <mergeCells count="25">
    <mergeCell ref="A66:C66"/>
    <mergeCell ref="A36:D36"/>
    <mergeCell ref="A37:D37"/>
    <mergeCell ref="A54:D54"/>
    <mergeCell ref="A63:D63"/>
    <mergeCell ref="A31:D31"/>
    <mergeCell ref="A18:D18"/>
    <mergeCell ref="A20:D20"/>
    <mergeCell ref="A24:D24"/>
    <mergeCell ref="A28:D28"/>
    <mergeCell ref="A14:D14"/>
    <mergeCell ref="A10:A11"/>
    <mergeCell ref="B10:B11"/>
    <mergeCell ref="C10:C11"/>
    <mergeCell ref="D10:D11"/>
    <mergeCell ref="A13:D13"/>
    <mergeCell ref="E10:J10"/>
    <mergeCell ref="G9:I9"/>
    <mergeCell ref="J9:L9"/>
    <mergeCell ref="K10:O10"/>
    <mergeCell ref="B9:D9"/>
    <mergeCell ref="A4:D4"/>
    <mergeCell ref="B6:D6"/>
    <mergeCell ref="B7:D7"/>
    <mergeCell ref="B8:D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&amp;CLapa &amp;P no &amp;N;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94"/>
  <sheetViews>
    <sheetView view="pageBreakPreview" zoomScaleSheetLayoutView="100" zoomScalePageLayoutView="0" workbookViewId="0" topLeftCell="A74">
      <pane xSplit="4" topLeftCell="E1" activePane="topRight" state="frozen"/>
      <selection pane="topLeft" activeCell="A2" sqref="A2"/>
      <selection pane="topRight" activeCell="C78" sqref="C78"/>
    </sheetView>
  </sheetViews>
  <sheetFormatPr defaultColWidth="9.140625" defaultRowHeight="12.75" outlineLevelRow="1"/>
  <cols>
    <col min="1" max="1" width="13.8515625" style="130" customWidth="1"/>
    <col min="2" max="2" width="43.8515625" style="130" customWidth="1"/>
    <col min="3" max="3" width="13.421875" style="130" customWidth="1"/>
    <col min="4" max="4" width="11.28125" style="67" customWidth="1"/>
    <col min="5" max="5" width="7.7109375" style="130" customWidth="1"/>
    <col min="6" max="6" width="6.140625" style="130" customWidth="1"/>
    <col min="7" max="7" width="8.00390625" style="130" customWidth="1"/>
    <col min="8" max="8" width="9.421875" style="130" customWidth="1"/>
    <col min="9" max="9" width="7.00390625" style="130" customWidth="1"/>
    <col min="10" max="10" width="9.57421875" style="130" customWidth="1"/>
    <col min="11" max="11" width="8.140625" style="130" customWidth="1"/>
    <col min="12" max="12" width="9.421875" style="130" bestFit="1" customWidth="1"/>
    <col min="13" max="13" width="10.8515625" style="130" customWidth="1"/>
    <col min="14" max="14" width="9.421875" style="130" bestFit="1" customWidth="1"/>
    <col min="15" max="15" width="10.421875" style="130" bestFit="1" customWidth="1"/>
    <col min="16" max="16" width="10.28125" style="130" bestFit="1" customWidth="1"/>
    <col min="17" max="16384" width="9.140625" style="130" customWidth="1"/>
  </cols>
  <sheetData>
    <row r="1" spans="6:9" ht="12.75" outlineLevel="1">
      <c r="F1" s="130">
        <v>5.41</v>
      </c>
      <c r="I1" s="131">
        <v>0.08</v>
      </c>
    </row>
    <row r="2" spans="1:15" s="31" customFormat="1" ht="15.75" thickBot="1">
      <c r="A2" s="337" t="s">
        <v>698</v>
      </c>
      <c r="B2" s="337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31" customFormat="1" ht="14.25" customHeight="1" thickTop="1">
      <c r="A3" s="329" t="s">
        <v>491</v>
      </c>
      <c r="B3" s="329"/>
      <c r="C3" s="329"/>
      <c r="D3" s="32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31" customFormat="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31" customFormat="1" ht="42.75" customHeight="1">
      <c r="A5" s="41" t="s">
        <v>21</v>
      </c>
      <c r="B5" s="331" t="s">
        <v>163</v>
      </c>
      <c r="C5" s="331"/>
      <c r="D5" s="331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31" customFormat="1" ht="12.75">
      <c r="A6" s="8" t="s">
        <v>22</v>
      </c>
      <c r="B6" s="320" t="str">
        <f>'LKT-5;Vijolīšu'!B7:D7</f>
        <v>KDS "Ziedonis", Katlakalns, Ķekavas pagasts, Ķekavas novads</v>
      </c>
      <c r="C6" s="320"/>
      <c r="D6" s="320"/>
      <c r="E6" s="14"/>
      <c r="F6" s="14"/>
      <c r="G6" s="14"/>
      <c r="H6" s="14"/>
      <c r="I6" s="14"/>
      <c r="J6" s="14"/>
      <c r="K6" s="14"/>
      <c r="L6" s="8"/>
      <c r="M6" s="8"/>
      <c r="N6" s="8"/>
      <c r="O6" s="8"/>
    </row>
    <row r="7" spans="1:15" s="31" customFormat="1" ht="12.75">
      <c r="A7" s="8"/>
      <c r="B7" s="320"/>
      <c r="C7" s="320"/>
      <c r="D7" s="320"/>
      <c r="E7" s="50"/>
      <c r="F7" s="50"/>
      <c r="H7" s="1"/>
      <c r="I7" s="17" t="s">
        <v>8</v>
      </c>
      <c r="J7" s="2">
        <f>O79</f>
        <v>0</v>
      </c>
      <c r="K7" s="1" t="s">
        <v>685</v>
      </c>
      <c r="L7" s="53"/>
      <c r="M7" s="8"/>
      <c r="N7" s="8"/>
      <c r="O7" s="8"/>
    </row>
    <row r="8" spans="1:15" s="31" customFormat="1" ht="13.5" thickBot="1">
      <c r="A8" s="8"/>
      <c r="B8" s="320"/>
      <c r="C8" s="320"/>
      <c r="D8" s="320"/>
      <c r="E8" s="52"/>
      <c r="F8" s="53"/>
      <c r="G8" s="322" t="s">
        <v>663</v>
      </c>
      <c r="H8" s="322"/>
      <c r="I8" s="322"/>
      <c r="J8" s="323" t="s">
        <v>686</v>
      </c>
      <c r="K8" s="323"/>
      <c r="L8" s="323"/>
      <c r="M8" s="53"/>
      <c r="N8" s="53"/>
      <c r="O8" s="53"/>
    </row>
    <row r="9" spans="1:15" s="31" customFormat="1" ht="18.75" customHeight="1">
      <c r="A9" s="324" t="s">
        <v>24</v>
      </c>
      <c r="B9" s="318" t="s">
        <v>25</v>
      </c>
      <c r="C9" s="327" t="s">
        <v>26</v>
      </c>
      <c r="D9" s="327" t="s">
        <v>27</v>
      </c>
      <c r="E9" s="318" t="s">
        <v>28</v>
      </c>
      <c r="F9" s="318"/>
      <c r="G9" s="318"/>
      <c r="H9" s="318"/>
      <c r="I9" s="318"/>
      <c r="J9" s="318"/>
      <c r="K9" s="318" t="s">
        <v>29</v>
      </c>
      <c r="L9" s="318" t="s">
        <v>29</v>
      </c>
      <c r="M9" s="318"/>
      <c r="N9" s="318"/>
      <c r="O9" s="321"/>
    </row>
    <row r="10" spans="1:15" s="31" customFormat="1" ht="80.25" thickBot="1">
      <c r="A10" s="325"/>
      <c r="B10" s="326"/>
      <c r="C10" s="328"/>
      <c r="D10" s="328"/>
      <c r="E10" s="32" t="s">
        <v>30</v>
      </c>
      <c r="F10" s="32" t="s">
        <v>678</v>
      </c>
      <c r="G10" s="32" t="s">
        <v>677</v>
      </c>
      <c r="H10" s="56" t="s">
        <v>679</v>
      </c>
      <c r="I10" s="32" t="s">
        <v>680</v>
      </c>
      <c r="J10" s="32" t="s">
        <v>681</v>
      </c>
      <c r="K10" s="32" t="s">
        <v>31</v>
      </c>
      <c r="L10" s="32" t="s">
        <v>682</v>
      </c>
      <c r="M10" s="32" t="s">
        <v>683</v>
      </c>
      <c r="N10" s="32" t="s">
        <v>680</v>
      </c>
      <c r="O10" s="57" t="s">
        <v>684</v>
      </c>
    </row>
    <row r="11" spans="1:15" s="3" customFormat="1" ht="15" customHeight="1" thickBot="1">
      <c r="A11" s="58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  <c r="G11" s="59">
        <v>7</v>
      </c>
      <c r="H11" s="59">
        <v>8</v>
      </c>
      <c r="I11" s="59">
        <v>9</v>
      </c>
      <c r="J11" s="59">
        <v>10</v>
      </c>
      <c r="K11" s="59">
        <v>11</v>
      </c>
      <c r="L11" s="59">
        <v>12</v>
      </c>
      <c r="M11" s="59">
        <v>13</v>
      </c>
      <c r="N11" s="59">
        <v>14</v>
      </c>
      <c r="O11" s="60">
        <v>15</v>
      </c>
    </row>
    <row r="12" spans="1:15" s="44" customFormat="1" ht="15" customHeight="1" thickBot="1">
      <c r="A12" s="71"/>
      <c r="B12" s="71"/>
      <c r="C12" s="71"/>
      <c r="D12" s="71"/>
      <c r="E12" s="72"/>
      <c r="F12" s="72"/>
      <c r="G12" s="72"/>
      <c r="H12" s="72"/>
      <c r="I12" s="72"/>
      <c r="J12" s="61"/>
      <c r="K12" s="61"/>
      <c r="L12" s="61"/>
      <c r="M12" s="61"/>
      <c r="N12" s="61"/>
      <c r="O12" s="61"/>
    </row>
    <row r="13" spans="1:15" s="45" customFormat="1" ht="15" customHeight="1" thickBot="1">
      <c r="A13" s="314" t="s">
        <v>107</v>
      </c>
      <c r="B13" s="315"/>
      <c r="C13" s="315"/>
      <c r="D13" s="315"/>
      <c r="E13" s="73"/>
      <c r="F13" s="72"/>
      <c r="G13" s="72"/>
      <c r="H13" s="72"/>
      <c r="I13" s="72"/>
      <c r="J13" s="61"/>
      <c r="K13" s="61"/>
      <c r="L13" s="61"/>
      <c r="M13" s="61"/>
      <c r="N13" s="61"/>
      <c r="O13" s="62"/>
    </row>
    <row r="14" spans="1:15" s="3" customFormat="1" ht="15" customHeight="1" thickBot="1">
      <c r="A14" s="312" t="s">
        <v>106</v>
      </c>
      <c r="B14" s="313"/>
      <c r="C14" s="313"/>
      <c r="D14" s="319"/>
      <c r="E14" s="74"/>
      <c r="F14" s="75"/>
      <c r="G14" s="15"/>
      <c r="H14" s="15"/>
      <c r="I14" s="15"/>
      <c r="J14" s="42"/>
      <c r="K14" s="42"/>
      <c r="L14" s="42"/>
      <c r="M14" s="42"/>
      <c r="N14" s="42"/>
      <c r="O14" s="43"/>
    </row>
    <row r="15" spans="1:15" s="27" customFormat="1" ht="12.75">
      <c r="A15" s="70" t="s">
        <v>442</v>
      </c>
      <c r="B15" s="76" t="s">
        <v>50</v>
      </c>
      <c r="C15" s="70" t="s">
        <v>32</v>
      </c>
      <c r="D15" s="70">
        <v>1</v>
      </c>
      <c r="E15" s="185"/>
      <c r="F15" s="21"/>
      <c r="G15" s="185"/>
      <c r="H15" s="193"/>
      <c r="I15" s="21"/>
      <c r="J15" s="21"/>
      <c r="K15" s="21"/>
      <c r="L15" s="21"/>
      <c r="M15" s="21"/>
      <c r="N15" s="21"/>
      <c r="O15" s="21"/>
    </row>
    <row r="16" spans="1:15" s="27" customFormat="1" ht="27" customHeight="1">
      <c r="A16" s="70" t="s">
        <v>443</v>
      </c>
      <c r="B16" s="78" t="s">
        <v>51</v>
      </c>
      <c r="C16" s="75" t="s">
        <v>47</v>
      </c>
      <c r="D16" s="70">
        <v>1</v>
      </c>
      <c r="E16" s="185"/>
      <c r="F16" s="21"/>
      <c r="G16" s="183"/>
      <c r="H16" s="195"/>
      <c r="I16" s="21"/>
      <c r="J16" s="21"/>
      <c r="K16" s="21"/>
      <c r="L16" s="21"/>
      <c r="M16" s="21"/>
      <c r="N16" s="21"/>
      <c r="O16" s="36"/>
    </row>
    <row r="17" spans="1:15" s="27" customFormat="1" ht="25.5">
      <c r="A17" s="70" t="s">
        <v>444</v>
      </c>
      <c r="B17" s="78" t="s">
        <v>154</v>
      </c>
      <c r="C17" s="75" t="s">
        <v>33</v>
      </c>
      <c r="D17" s="70">
        <v>3</v>
      </c>
      <c r="E17" s="185"/>
      <c r="F17" s="21"/>
      <c r="G17" s="183"/>
      <c r="H17" s="195"/>
      <c r="I17" s="21"/>
      <c r="J17" s="21"/>
      <c r="K17" s="21"/>
      <c r="L17" s="21"/>
      <c r="M17" s="21"/>
      <c r="N17" s="21"/>
      <c r="O17" s="36"/>
    </row>
    <row r="18" spans="1:15" s="27" customFormat="1" ht="25.5">
      <c r="A18" s="70" t="s">
        <v>445</v>
      </c>
      <c r="B18" s="78" t="s">
        <v>186</v>
      </c>
      <c r="C18" s="75" t="s">
        <v>16</v>
      </c>
      <c r="D18" s="70">
        <v>11</v>
      </c>
      <c r="E18" s="185"/>
      <c r="F18" s="21"/>
      <c r="G18" s="183"/>
      <c r="H18" s="183"/>
      <c r="I18" s="21"/>
      <c r="J18" s="21"/>
      <c r="K18" s="21"/>
      <c r="L18" s="21"/>
      <c r="M18" s="21"/>
      <c r="N18" s="21"/>
      <c r="O18" s="36"/>
    </row>
    <row r="19" spans="1:15" s="27" customFormat="1" ht="13.5" thickBot="1">
      <c r="A19" s="70" t="s">
        <v>446</v>
      </c>
      <c r="B19" s="78" t="s">
        <v>45</v>
      </c>
      <c r="C19" s="79" t="s">
        <v>46</v>
      </c>
      <c r="D19" s="70">
        <v>1</v>
      </c>
      <c r="E19" s="21"/>
      <c r="F19" s="21"/>
      <c r="G19" s="185"/>
      <c r="H19" s="193"/>
      <c r="I19" s="21"/>
      <c r="J19" s="21"/>
      <c r="K19" s="202"/>
      <c r="L19" s="21"/>
      <c r="M19" s="21"/>
      <c r="N19" s="21"/>
      <c r="O19" s="21"/>
    </row>
    <row r="20" spans="1:15" ht="14.25" customHeight="1" thickBot="1">
      <c r="A20" s="312" t="s">
        <v>105</v>
      </c>
      <c r="B20" s="313"/>
      <c r="C20" s="313"/>
      <c r="D20" s="319"/>
      <c r="E20" s="74"/>
      <c r="F20" s="75"/>
      <c r="G20" s="15"/>
      <c r="H20" s="15"/>
      <c r="I20" s="15"/>
      <c r="J20" s="42"/>
      <c r="K20" s="132"/>
      <c r="L20" s="132"/>
      <c r="M20" s="132"/>
      <c r="N20" s="132"/>
      <c r="O20" s="133"/>
    </row>
    <row r="21" spans="1:15" s="27" customFormat="1" ht="26.25" thickBot="1">
      <c r="A21" s="77" t="s">
        <v>447</v>
      </c>
      <c r="B21" s="10" t="s">
        <v>155</v>
      </c>
      <c r="C21" s="79" t="s">
        <v>664</v>
      </c>
      <c r="D21" s="70">
        <f>16*1.2/100</f>
        <v>0.192</v>
      </c>
      <c r="E21" s="203"/>
      <c r="F21" s="21"/>
      <c r="G21" s="185"/>
      <c r="H21" s="183"/>
      <c r="I21" s="203"/>
      <c r="J21" s="21"/>
      <c r="K21" s="202"/>
      <c r="L21" s="21"/>
      <c r="M21" s="21"/>
      <c r="N21" s="21"/>
      <c r="O21" s="36"/>
    </row>
    <row r="22" spans="1:15" ht="62.25" customHeight="1" thickBot="1">
      <c r="A22" s="312" t="s">
        <v>104</v>
      </c>
      <c r="B22" s="313"/>
      <c r="C22" s="313"/>
      <c r="D22" s="319"/>
      <c r="E22" s="16"/>
      <c r="F22" s="70"/>
      <c r="G22" s="16"/>
      <c r="H22" s="16"/>
      <c r="I22" s="16"/>
      <c r="J22" s="21"/>
      <c r="K22" s="21"/>
      <c r="L22" s="132"/>
      <c r="M22" s="132"/>
      <c r="N22" s="132"/>
      <c r="O22" s="133"/>
    </row>
    <row r="23" spans="1:15" s="27" customFormat="1" ht="12.75">
      <c r="A23" s="77" t="s">
        <v>448</v>
      </c>
      <c r="B23" s="82" t="s">
        <v>14</v>
      </c>
      <c r="C23" s="83" t="s">
        <v>41</v>
      </c>
      <c r="D23" s="125">
        <v>7</v>
      </c>
      <c r="E23" s="42"/>
      <c r="F23" s="192"/>
      <c r="G23" s="185"/>
      <c r="H23" s="194"/>
      <c r="I23" s="183"/>
      <c r="J23" s="42"/>
      <c r="K23" s="202"/>
      <c r="L23" s="21"/>
      <c r="M23" s="21"/>
      <c r="N23" s="21"/>
      <c r="O23" s="21"/>
    </row>
    <row r="24" spans="1:15" s="27" customFormat="1" ht="13.5" thickBot="1">
      <c r="A24" s="77" t="s">
        <v>449</v>
      </c>
      <c r="B24" s="85" t="s">
        <v>69</v>
      </c>
      <c r="C24" s="25" t="s">
        <v>16</v>
      </c>
      <c r="D24" s="125">
        <f>SUM(D23:D23)</f>
        <v>7</v>
      </c>
      <c r="E24" s="184"/>
      <c r="F24" s="20"/>
      <c r="G24" s="185"/>
      <c r="H24" s="184"/>
      <c r="I24" s="21"/>
      <c r="J24" s="20"/>
      <c r="K24" s="20"/>
      <c r="L24" s="20"/>
      <c r="M24" s="20"/>
      <c r="N24" s="20"/>
      <c r="O24" s="20"/>
    </row>
    <row r="25" spans="1:15" ht="48.75" customHeight="1" thickBot="1">
      <c r="A25" s="312" t="s">
        <v>160</v>
      </c>
      <c r="B25" s="313"/>
      <c r="C25" s="313"/>
      <c r="D25" s="319"/>
      <c r="E25" s="86"/>
      <c r="F25" s="70"/>
      <c r="G25" s="16"/>
      <c r="H25" s="16"/>
      <c r="I25" s="16"/>
      <c r="J25" s="21"/>
      <c r="K25" s="132"/>
      <c r="L25" s="132"/>
      <c r="M25" s="132"/>
      <c r="N25" s="132"/>
      <c r="O25" s="133"/>
    </row>
    <row r="26" spans="1:15" s="27" customFormat="1" ht="12.75">
      <c r="A26" s="77" t="s">
        <v>450</v>
      </c>
      <c r="B26" s="80" t="s">
        <v>200</v>
      </c>
      <c r="C26" s="70" t="s">
        <v>33</v>
      </c>
      <c r="D26" s="70">
        <v>37</v>
      </c>
      <c r="E26" s="185"/>
      <c r="F26" s="21"/>
      <c r="G26" s="21"/>
      <c r="H26" s="185"/>
      <c r="I26" s="21"/>
      <c r="J26" s="21"/>
      <c r="K26" s="21"/>
      <c r="L26" s="21"/>
      <c r="M26" s="21"/>
      <c r="N26" s="21"/>
      <c r="O26" s="36"/>
    </row>
    <row r="27" spans="1:15" s="27" customFormat="1" ht="12.75">
      <c r="A27" s="77" t="s">
        <v>451</v>
      </c>
      <c r="B27" s="80" t="s">
        <v>164</v>
      </c>
      <c r="C27" s="70" t="s">
        <v>33</v>
      </c>
      <c r="D27" s="70">
        <f>59.4+40.6</f>
        <v>100</v>
      </c>
      <c r="E27" s="185"/>
      <c r="F27" s="21"/>
      <c r="G27" s="21"/>
      <c r="H27" s="183"/>
      <c r="I27" s="183"/>
      <c r="J27" s="21"/>
      <c r="K27" s="21"/>
      <c r="L27" s="21"/>
      <c r="M27" s="21"/>
      <c r="N27" s="21"/>
      <c r="O27" s="36"/>
    </row>
    <row r="28" spans="1:15" s="27" customFormat="1" ht="12.75">
      <c r="A28" s="77" t="s">
        <v>452</v>
      </c>
      <c r="B28" s="80" t="s">
        <v>204</v>
      </c>
      <c r="C28" s="70" t="s">
        <v>33</v>
      </c>
      <c r="D28" s="70">
        <v>31</v>
      </c>
      <c r="E28" s="185"/>
      <c r="F28" s="21"/>
      <c r="G28" s="21"/>
      <c r="H28" s="183"/>
      <c r="I28" s="183"/>
      <c r="J28" s="21"/>
      <c r="K28" s="21"/>
      <c r="L28" s="21"/>
      <c r="M28" s="21"/>
      <c r="N28" s="21"/>
      <c r="O28" s="36"/>
    </row>
    <row r="29" spans="1:15" s="27" customFormat="1" ht="25.5">
      <c r="A29" s="77" t="s">
        <v>453</v>
      </c>
      <c r="B29" s="81" t="s">
        <v>111</v>
      </c>
      <c r="C29" s="70" t="s">
        <v>33</v>
      </c>
      <c r="D29" s="70">
        <v>22.5</v>
      </c>
      <c r="E29" s="185"/>
      <c r="F29" s="21"/>
      <c r="G29" s="21"/>
      <c r="H29" s="185"/>
      <c r="I29" s="21"/>
      <c r="J29" s="21"/>
      <c r="K29" s="21"/>
      <c r="L29" s="21"/>
      <c r="M29" s="21"/>
      <c r="N29" s="21"/>
      <c r="O29" s="36"/>
    </row>
    <row r="30" spans="1:15" s="27" customFormat="1" ht="25.5">
      <c r="A30" s="77" t="s">
        <v>454</v>
      </c>
      <c r="B30" s="81" t="s">
        <v>112</v>
      </c>
      <c r="C30" s="70" t="s">
        <v>33</v>
      </c>
      <c r="D30" s="70">
        <v>15</v>
      </c>
      <c r="E30" s="185"/>
      <c r="F30" s="21"/>
      <c r="G30" s="21"/>
      <c r="H30" s="185"/>
      <c r="I30" s="21"/>
      <c r="J30" s="21"/>
      <c r="K30" s="21"/>
      <c r="L30" s="21"/>
      <c r="M30" s="21"/>
      <c r="N30" s="21"/>
      <c r="O30" s="36"/>
    </row>
    <row r="31" spans="1:15" s="27" customFormat="1" ht="26.25" thickBot="1">
      <c r="A31" s="77" t="s">
        <v>455</v>
      </c>
      <c r="B31" s="81" t="s">
        <v>151</v>
      </c>
      <c r="C31" s="70" t="s">
        <v>33</v>
      </c>
      <c r="D31" s="70">
        <v>4</v>
      </c>
      <c r="E31" s="185"/>
      <c r="F31" s="21"/>
      <c r="G31" s="21"/>
      <c r="H31" s="185"/>
      <c r="I31" s="21"/>
      <c r="J31" s="21"/>
      <c r="K31" s="21"/>
      <c r="L31" s="21"/>
      <c r="M31" s="21"/>
      <c r="N31" s="21"/>
      <c r="O31" s="36"/>
    </row>
    <row r="32" spans="1:15" ht="14.25" customHeight="1" thickBot="1">
      <c r="A32" s="312" t="s">
        <v>103</v>
      </c>
      <c r="B32" s="313"/>
      <c r="C32" s="313"/>
      <c r="D32" s="319"/>
      <c r="E32" s="87"/>
      <c r="F32" s="70"/>
      <c r="G32" s="16"/>
      <c r="H32" s="16"/>
      <c r="I32" s="16"/>
      <c r="J32" s="21"/>
      <c r="K32" s="21"/>
      <c r="L32" s="21"/>
      <c r="M32" s="21"/>
      <c r="N32" s="21"/>
      <c r="O32" s="36"/>
    </row>
    <row r="33" spans="1:15" ht="13.5" thickBot="1">
      <c r="A33" s="77" t="s">
        <v>456</v>
      </c>
      <c r="B33" s="81" t="s">
        <v>99</v>
      </c>
      <c r="C33" s="70" t="s">
        <v>100</v>
      </c>
      <c r="D33" s="70">
        <v>21</v>
      </c>
      <c r="E33" s="185"/>
      <c r="F33" s="21"/>
      <c r="G33" s="185"/>
      <c r="H33" s="185"/>
      <c r="I33" s="21"/>
      <c r="J33" s="21"/>
      <c r="K33" s="21"/>
      <c r="L33" s="21"/>
      <c r="M33" s="21"/>
      <c r="N33" s="21"/>
      <c r="O33" s="21"/>
    </row>
    <row r="34" spans="1:15" ht="14.25" customHeight="1" thickBot="1">
      <c r="A34" s="312" t="s">
        <v>102</v>
      </c>
      <c r="B34" s="313"/>
      <c r="C34" s="313"/>
      <c r="D34" s="319"/>
      <c r="E34" s="87"/>
      <c r="F34" s="70"/>
      <c r="G34" s="16"/>
      <c r="H34" s="16"/>
      <c r="I34" s="16"/>
      <c r="J34" s="21"/>
      <c r="K34" s="21"/>
      <c r="L34" s="21"/>
      <c r="M34" s="21"/>
      <c r="N34" s="21"/>
      <c r="O34" s="36"/>
    </row>
    <row r="35" spans="1:15" s="26" customFormat="1" ht="43.5" customHeight="1">
      <c r="A35" s="77" t="s">
        <v>457</v>
      </c>
      <c r="B35" s="4" t="s">
        <v>187</v>
      </c>
      <c r="C35" s="79" t="s">
        <v>44</v>
      </c>
      <c r="D35" s="70">
        <f>D26*1.25*1.2+D27*1.75*1.2+D28*2.25*1.2+D29*1.25*1.2+D30*1.75+D31*2.25-D43-D54-D71-D72-D74</f>
        <v>232.49999999999997</v>
      </c>
      <c r="E35" s="183"/>
      <c r="F35" s="21"/>
      <c r="G35" s="185"/>
      <c r="H35" s="183"/>
      <c r="I35" s="21"/>
      <c r="J35" s="21"/>
      <c r="K35" s="202"/>
      <c r="L35" s="21"/>
      <c r="M35" s="21"/>
      <c r="N35" s="21"/>
      <c r="O35" s="21"/>
    </row>
    <row r="36" spans="1:15" s="26" customFormat="1" ht="38.25">
      <c r="A36" s="77" t="s">
        <v>458</v>
      </c>
      <c r="B36" s="85" t="s">
        <v>109</v>
      </c>
      <c r="C36" s="88" t="s">
        <v>44</v>
      </c>
      <c r="D36" s="25">
        <f>ROUND(D35*0.1,1)</f>
        <v>23.3</v>
      </c>
      <c r="E36" s="185"/>
      <c r="F36" s="21"/>
      <c r="G36" s="185"/>
      <c r="H36" s="185"/>
      <c r="I36" s="185"/>
      <c r="J36" s="21"/>
      <c r="K36" s="202"/>
      <c r="L36" s="21"/>
      <c r="M36" s="21"/>
      <c r="N36" s="21"/>
      <c r="O36" s="21"/>
    </row>
    <row r="37" spans="1:15" s="5" customFormat="1" ht="12.75">
      <c r="A37" s="77" t="s">
        <v>459</v>
      </c>
      <c r="B37" s="7" t="s">
        <v>188</v>
      </c>
      <c r="C37" s="88" t="s">
        <v>44</v>
      </c>
      <c r="D37" s="70">
        <f>D36</f>
        <v>23.3</v>
      </c>
      <c r="E37" s="184"/>
      <c r="F37" s="20"/>
      <c r="G37" s="184"/>
      <c r="H37" s="184"/>
      <c r="I37" s="21"/>
      <c r="J37" s="20"/>
      <c r="K37" s="20"/>
      <c r="L37" s="20"/>
      <c r="M37" s="20"/>
      <c r="N37" s="20"/>
      <c r="O37" s="20"/>
    </row>
    <row r="38" spans="1:15" s="28" customFormat="1" ht="26.25" thickBot="1">
      <c r="A38" s="77" t="s">
        <v>460</v>
      </c>
      <c r="B38" s="81" t="s">
        <v>110</v>
      </c>
      <c r="C38" s="79" t="s">
        <v>44</v>
      </c>
      <c r="D38" s="70">
        <f>ROUND(D37+D43+D54+D71+D72,1)</f>
        <v>206.1</v>
      </c>
      <c r="E38" s="185"/>
      <c r="F38" s="21"/>
      <c r="G38" s="185"/>
      <c r="H38" s="185"/>
      <c r="I38" s="185"/>
      <c r="J38" s="21"/>
      <c r="K38" s="202"/>
      <c r="L38" s="21"/>
      <c r="M38" s="21"/>
      <c r="N38" s="21"/>
      <c r="O38" s="21"/>
    </row>
    <row r="39" spans="1:15" s="28" customFormat="1" ht="16.5" thickBot="1">
      <c r="A39" s="314" t="s">
        <v>166</v>
      </c>
      <c r="B39" s="315"/>
      <c r="C39" s="315"/>
      <c r="D39" s="315"/>
      <c r="E39" s="86"/>
      <c r="F39" s="70"/>
      <c r="G39" s="16"/>
      <c r="H39" s="16"/>
      <c r="I39" s="70"/>
      <c r="J39" s="21"/>
      <c r="K39" s="21"/>
      <c r="L39" s="21"/>
      <c r="M39" s="21"/>
      <c r="N39" s="21"/>
      <c r="O39" s="36"/>
    </row>
    <row r="40" spans="1:15" s="28" customFormat="1" ht="14.25" customHeight="1" thickBot="1">
      <c r="A40" s="312" t="s">
        <v>174</v>
      </c>
      <c r="B40" s="313"/>
      <c r="C40" s="313"/>
      <c r="D40" s="313"/>
      <c r="E40" s="86"/>
      <c r="F40" s="70"/>
      <c r="G40" s="16"/>
      <c r="H40" s="16"/>
      <c r="I40" s="70"/>
      <c r="J40" s="21"/>
      <c r="K40" s="21"/>
      <c r="L40" s="21"/>
      <c r="M40" s="21"/>
      <c r="N40" s="21"/>
      <c r="O40" s="36"/>
    </row>
    <row r="41" spans="1:15" s="28" customFormat="1" ht="12.75">
      <c r="A41" s="75" t="s">
        <v>461</v>
      </c>
      <c r="B41" s="78" t="s">
        <v>85</v>
      </c>
      <c r="C41" s="70" t="s">
        <v>33</v>
      </c>
      <c r="D41" s="70">
        <f>D47</f>
        <v>168</v>
      </c>
      <c r="E41" s="183"/>
      <c r="F41" s="21"/>
      <c r="G41" s="185"/>
      <c r="H41" s="195"/>
      <c r="I41" s="21"/>
      <c r="J41" s="21"/>
      <c r="K41" s="202"/>
      <c r="L41" s="21"/>
      <c r="M41" s="21"/>
      <c r="N41" s="21"/>
      <c r="O41" s="21"/>
    </row>
    <row r="42" spans="1:15" s="28" customFormat="1" ht="25.5">
      <c r="A42" s="75" t="s">
        <v>462</v>
      </c>
      <c r="B42" s="81" t="s">
        <v>687</v>
      </c>
      <c r="C42" s="70" t="s">
        <v>42</v>
      </c>
      <c r="D42" s="70">
        <f>ROUND((D45*0.41+D46*0.5+D47*0.65),1)</f>
        <v>127.8</v>
      </c>
      <c r="E42" s="185"/>
      <c r="F42" s="21"/>
      <c r="G42" s="185"/>
      <c r="H42" s="185"/>
      <c r="I42" s="185"/>
      <c r="J42" s="21"/>
      <c r="K42" s="202"/>
      <c r="L42" s="21"/>
      <c r="M42" s="21"/>
      <c r="N42" s="21"/>
      <c r="O42" s="21"/>
    </row>
    <row r="43" spans="1:15" s="28" customFormat="1" ht="25.5">
      <c r="A43" s="75" t="s">
        <v>463</v>
      </c>
      <c r="B43" s="85" t="s">
        <v>688</v>
      </c>
      <c r="C43" s="25" t="s">
        <v>43</v>
      </c>
      <c r="D43" s="25">
        <f>ROUND((D45*0.0615+D46*0.075+D47*0.065),1)</f>
        <v>13.7</v>
      </c>
      <c r="E43" s="184"/>
      <c r="F43" s="20"/>
      <c r="G43" s="184"/>
      <c r="H43" s="184"/>
      <c r="I43" s="21"/>
      <c r="J43" s="20"/>
      <c r="K43" s="20"/>
      <c r="L43" s="20"/>
      <c r="M43" s="20"/>
      <c r="N43" s="20"/>
      <c r="O43" s="20"/>
    </row>
    <row r="44" spans="1:15" s="28" customFormat="1" ht="12.75">
      <c r="A44" s="75" t="s">
        <v>464</v>
      </c>
      <c r="B44" s="89" t="s">
        <v>15</v>
      </c>
      <c r="C44" s="70" t="s">
        <v>33</v>
      </c>
      <c r="D44" s="70">
        <f>SUM(D45:D47)</f>
        <v>211.2</v>
      </c>
      <c r="E44" s="185"/>
      <c r="F44" s="21"/>
      <c r="G44" s="185"/>
      <c r="H44" s="185"/>
      <c r="I44" s="185"/>
      <c r="J44" s="21"/>
      <c r="K44" s="202"/>
      <c r="L44" s="21"/>
      <c r="M44" s="21"/>
      <c r="N44" s="21"/>
      <c r="O44" s="21"/>
    </row>
    <row r="45" spans="1:15" s="28" customFormat="1" ht="12.75">
      <c r="A45" s="75" t="s">
        <v>465</v>
      </c>
      <c r="B45" s="90" t="s">
        <v>170</v>
      </c>
      <c r="C45" s="25" t="s">
        <v>33</v>
      </c>
      <c r="D45" s="70">
        <v>33</v>
      </c>
      <c r="E45" s="184"/>
      <c r="F45" s="20"/>
      <c r="G45" s="184"/>
      <c r="H45" s="184"/>
      <c r="I45" s="21"/>
      <c r="J45" s="20"/>
      <c r="K45" s="20"/>
      <c r="L45" s="20"/>
      <c r="M45" s="20"/>
      <c r="N45" s="20"/>
      <c r="O45" s="20"/>
    </row>
    <row r="46" spans="1:15" s="28" customFormat="1" ht="12.75">
      <c r="A46" s="75" t="s">
        <v>466</v>
      </c>
      <c r="B46" s="90" t="s">
        <v>192</v>
      </c>
      <c r="C46" s="25" t="s">
        <v>33</v>
      </c>
      <c r="D46" s="70">
        <v>10.2</v>
      </c>
      <c r="E46" s="196"/>
      <c r="F46" s="20"/>
      <c r="G46" s="196"/>
      <c r="H46" s="184"/>
      <c r="I46" s="21"/>
      <c r="J46" s="20"/>
      <c r="K46" s="20"/>
      <c r="L46" s="20"/>
      <c r="M46" s="20"/>
      <c r="N46" s="20"/>
      <c r="O46" s="38"/>
    </row>
    <row r="47" spans="1:15" s="28" customFormat="1" ht="12.75">
      <c r="A47" s="75" t="s">
        <v>467</v>
      </c>
      <c r="B47" s="90" t="s">
        <v>169</v>
      </c>
      <c r="C47" s="25" t="s">
        <v>33</v>
      </c>
      <c r="D47" s="70">
        <v>168</v>
      </c>
      <c r="E47" s="184"/>
      <c r="F47" s="20"/>
      <c r="G47" s="184"/>
      <c r="H47" s="184"/>
      <c r="I47" s="21"/>
      <c r="J47" s="20"/>
      <c r="K47" s="20"/>
      <c r="L47" s="20"/>
      <c r="M47" s="20"/>
      <c r="N47" s="20"/>
      <c r="O47" s="20"/>
    </row>
    <row r="48" spans="1:15" s="28" customFormat="1" ht="38.25">
      <c r="A48" s="75" t="s">
        <v>468</v>
      </c>
      <c r="B48" s="85" t="s">
        <v>691</v>
      </c>
      <c r="C48" s="88" t="s">
        <v>42</v>
      </c>
      <c r="D48" s="105">
        <f>D47</f>
        <v>168</v>
      </c>
      <c r="E48" s="184"/>
      <c r="F48" s="20"/>
      <c r="G48" s="184"/>
      <c r="H48" s="184"/>
      <c r="I48" s="21"/>
      <c r="J48" s="20"/>
      <c r="K48" s="20"/>
      <c r="L48" s="20"/>
      <c r="M48" s="20"/>
      <c r="N48" s="20"/>
      <c r="O48" s="20"/>
    </row>
    <row r="49" spans="1:15" s="28" customFormat="1" ht="45.75" customHeight="1">
      <c r="A49" s="75" t="s">
        <v>469</v>
      </c>
      <c r="B49" s="4" t="s">
        <v>193</v>
      </c>
      <c r="C49" s="70" t="s">
        <v>16</v>
      </c>
      <c r="D49" s="70">
        <v>11</v>
      </c>
      <c r="E49" s="185"/>
      <c r="F49" s="21"/>
      <c r="G49" s="185"/>
      <c r="H49" s="183"/>
      <c r="I49" s="21"/>
      <c r="J49" s="21"/>
      <c r="K49" s="202"/>
      <c r="L49" s="21"/>
      <c r="M49" s="21"/>
      <c r="N49" s="21"/>
      <c r="O49" s="21"/>
    </row>
    <row r="50" spans="1:15" s="28" customFormat="1" ht="51">
      <c r="A50" s="75" t="s">
        <v>470</v>
      </c>
      <c r="B50" s="7" t="s">
        <v>213</v>
      </c>
      <c r="C50" s="9" t="s">
        <v>32</v>
      </c>
      <c r="D50" s="70">
        <f>D49</f>
        <v>11</v>
      </c>
      <c r="E50" s="184"/>
      <c r="F50" s="20"/>
      <c r="G50" s="184"/>
      <c r="H50" s="184"/>
      <c r="I50" s="21"/>
      <c r="J50" s="20"/>
      <c r="K50" s="20"/>
      <c r="L50" s="20"/>
      <c r="M50" s="20"/>
      <c r="N50" s="20"/>
      <c r="O50" s="20"/>
    </row>
    <row r="51" spans="1:15" s="28" customFormat="1" ht="25.5">
      <c r="A51" s="75" t="s">
        <v>471</v>
      </c>
      <c r="B51" s="91" t="s">
        <v>673</v>
      </c>
      <c r="C51" s="92" t="s">
        <v>33</v>
      </c>
      <c r="D51" s="70">
        <v>31.6</v>
      </c>
      <c r="E51" s="185"/>
      <c r="F51" s="21"/>
      <c r="G51" s="185"/>
      <c r="H51" s="185"/>
      <c r="I51" s="21"/>
      <c r="J51" s="21"/>
      <c r="K51" s="21"/>
      <c r="L51" s="21"/>
      <c r="M51" s="21"/>
      <c r="N51" s="21"/>
      <c r="O51" s="21"/>
    </row>
    <row r="52" spans="1:15" s="28" customFormat="1" ht="25.5">
      <c r="A52" s="75" t="s">
        <v>472</v>
      </c>
      <c r="B52" s="85" t="s">
        <v>3</v>
      </c>
      <c r="C52" s="25" t="s">
        <v>157</v>
      </c>
      <c r="D52" s="70">
        <f>D51</f>
        <v>31.6</v>
      </c>
      <c r="E52" s="184"/>
      <c r="F52" s="20"/>
      <c r="G52" s="184"/>
      <c r="H52" s="184"/>
      <c r="I52" s="21"/>
      <c r="J52" s="20"/>
      <c r="K52" s="20"/>
      <c r="L52" s="20"/>
      <c r="M52" s="20"/>
      <c r="N52" s="20"/>
      <c r="O52" s="20"/>
    </row>
    <row r="53" spans="1:15" s="28" customFormat="1" ht="25.5">
      <c r="A53" s="75" t="s">
        <v>473</v>
      </c>
      <c r="B53" s="81" t="s">
        <v>690</v>
      </c>
      <c r="C53" s="70" t="s">
        <v>42</v>
      </c>
      <c r="D53" s="70">
        <f>D42</f>
        <v>127.8</v>
      </c>
      <c r="E53" s="185"/>
      <c r="F53" s="21"/>
      <c r="G53" s="185"/>
      <c r="H53" s="185"/>
      <c r="I53" s="185"/>
      <c r="J53" s="21"/>
      <c r="K53" s="202"/>
      <c r="L53" s="21"/>
      <c r="M53" s="21"/>
      <c r="N53" s="21"/>
      <c r="O53" s="21"/>
    </row>
    <row r="54" spans="1:15" s="28" customFormat="1" ht="25.5">
      <c r="A54" s="75" t="s">
        <v>474</v>
      </c>
      <c r="B54" s="85" t="s">
        <v>689</v>
      </c>
      <c r="C54" s="88" t="s">
        <v>12</v>
      </c>
      <c r="D54" s="105">
        <f>ROUND((D47*0.12+D48*0.18+D49*0.2434),1)</f>
        <v>53.1</v>
      </c>
      <c r="E54" s="196"/>
      <c r="F54" s="20"/>
      <c r="G54" s="196"/>
      <c r="H54" s="196"/>
      <c r="I54" s="196"/>
      <c r="J54" s="20"/>
      <c r="K54" s="20"/>
      <c r="L54" s="20"/>
      <c r="M54" s="20"/>
      <c r="N54" s="20"/>
      <c r="O54" s="38"/>
    </row>
    <row r="55" spans="1:15" s="28" customFormat="1" ht="12.75">
      <c r="A55" s="75" t="s">
        <v>475</v>
      </c>
      <c r="B55" s="89" t="s">
        <v>86</v>
      </c>
      <c r="C55" s="70" t="s">
        <v>33</v>
      </c>
      <c r="D55" s="70">
        <f>D41</f>
        <v>168</v>
      </c>
      <c r="E55" s="183"/>
      <c r="F55" s="21"/>
      <c r="G55" s="185"/>
      <c r="H55" s="183"/>
      <c r="I55" s="21"/>
      <c r="J55" s="21"/>
      <c r="K55" s="202"/>
      <c r="L55" s="21"/>
      <c r="M55" s="21"/>
      <c r="N55" s="21"/>
      <c r="O55" s="36"/>
    </row>
    <row r="56" spans="1:15" s="28" customFormat="1" ht="13.5" thickBot="1">
      <c r="A56" s="75" t="s">
        <v>476</v>
      </c>
      <c r="B56" s="90" t="s">
        <v>17</v>
      </c>
      <c r="C56" s="25" t="s">
        <v>33</v>
      </c>
      <c r="D56" s="70">
        <f>D55</f>
        <v>168</v>
      </c>
      <c r="E56" s="196"/>
      <c r="F56" s="20"/>
      <c r="G56" s="196"/>
      <c r="H56" s="196"/>
      <c r="I56" s="21"/>
      <c r="J56" s="20"/>
      <c r="K56" s="20"/>
      <c r="L56" s="20"/>
      <c r="M56" s="20"/>
      <c r="N56" s="20"/>
      <c r="O56" s="38"/>
    </row>
    <row r="57" spans="1:15" s="28" customFormat="1" ht="14.25" customHeight="1" thickBot="1">
      <c r="A57" s="312" t="s">
        <v>202</v>
      </c>
      <c r="B57" s="313"/>
      <c r="C57" s="313"/>
      <c r="D57" s="313"/>
      <c r="E57" s="86"/>
      <c r="F57" s="70"/>
      <c r="G57" s="16"/>
      <c r="H57" s="16"/>
      <c r="I57" s="70"/>
      <c r="J57" s="21"/>
      <c r="K57" s="21"/>
      <c r="L57" s="21"/>
      <c r="M57" s="21"/>
      <c r="N57" s="21"/>
      <c r="O57" s="36"/>
    </row>
    <row r="58" spans="1:15" s="28" customFormat="1" ht="38.25">
      <c r="A58" s="75" t="s">
        <v>477</v>
      </c>
      <c r="B58" s="81" t="s">
        <v>194</v>
      </c>
      <c r="C58" s="70" t="s">
        <v>16</v>
      </c>
      <c r="D58" s="70">
        <f>SUM(D59:D60)</f>
        <v>8</v>
      </c>
      <c r="E58" s="185"/>
      <c r="F58" s="21"/>
      <c r="G58" s="185"/>
      <c r="H58" s="185"/>
      <c r="I58" s="21"/>
      <c r="J58" s="21"/>
      <c r="K58" s="202"/>
      <c r="L58" s="21"/>
      <c r="M58" s="21"/>
      <c r="N58" s="21"/>
      <c r="O58" s="36"/>
    </row>
    <row r="59" spans="1:15" s="28" customFormat="1" ht="25.5">
      <c r="A59" s="75" t="s">
        <v>478</v>
      </c>
      <c r="B59" s="93" t="s">
        <v>176</v>
      </c>
      <c r="C59" s="25" t="s">
        <v>32</v>
      </c>
      <c r="D59" s="70">
        <v>6</v>
      </c>
      <c r="E59" s="184"/>
      <c r="F59" s="20"/>
      <c r="G59" s="184"/>
      <c r="H59" s="184"/>
      <c r="I59" s="21"/>
      <c r="J59" s="20"/>
      <c r="K59" s="20"/>
      <c r="L59" s="20"/>
      <c r="M59" s="20"/>
      <c r="N59" s="20"/>
      <c r="O59" s="20"/>
    </row>
    <row r="60" spans="1:15" s="28" customFormat="1" ht="25.5">
      <c r="A60" s="75" t="s">
        <v>479</v>
      </c>
      <c r="B60" s="93" t="s">
        <v>177</v>
      </c>
      <c r="C60" s="25" t="s">
        <v>32</v>
      </c>
      <c r="D60" s="70">
        <v>2</v>
      </c>
      <c r="E60" s="184"/>
      <c r="F60" s="20"/>
      <c r="G60" s="184"/>
      <c r="H60" s="97"/>
      <c r="I60" s="21"/>
      <c r="J60" s="20"/>
      <c r="K60" s="20"/>
      <c r="L60" s="20"/>
      <c r="M60" s="20"/>
      <c r="N60" s="20"/>
      <c r="O60" s="20"/>
    </row>
    <row r="61" spans="1:15" s="28" customFormat="1" ht="38.25">
      <c r="A61" s="75" t="s">
        <v>480</v>
      </c>
      <c r="B61" s="81" t="s">
        <v>670</v>
      </c>
      <c r="C61" s="70" t="s">
        <v>16</v>
      </c>
      <c r="D61" s="70">
        <v>4</v>
      </c>
      <c r="E61" s="185"/>
      <c r="F61" s="21"/>
      <c r="G61" s="185"/>
      <c r="H61" s="185"/>
      <c r="I61" s="21"/>
      <c r="J61" s="21"/>
      <c r="K61" s="202"/>
      <c r="L61" s="21"/>
      <c r="M61" s="21"/>
      <c r="N61" s="21"/>
      <c r="O61" s="36"/>
    </row>
    <row r="62" spans="1:15" s="28" customFormat="1" ht="38.25">
      <c r="A62" s="75" t="s">
        <v>481</v>
      </c>
      <c r="B62" s="93" t="s">
        <v>671</v>
      </c>
      <c r="C62" s="25" t="s">
        <v>672</v>
      </c>
      <c r="D62" s="70">
        <v>4</v>
      </c>
      <c r="E62" s="184"/>
      <c r="F62" s="20"/>
      <c r="G62" s="184"/>
      <c r="H62" s="97"/>
      <c r="I62" s="21"/>
      <c r="J62" s="20"/>
      <c r="K62" s="20"/>
      <c r="L62" s="20"/>
      <c r="M62" s="20"/>
      <c r="N62" s="20"/>
      <c r="O62" s="20"/>
    </row>
    <row r="63" spans="1:15" s="28" customFormat="1" ht="12.75">
      <c r="A63" s="75" t="s">
        <v>482</v>
      </c>
      <c r="B63" s="93" t="s">
        <v>185</v>
      </c>
      <c r="C63" s="25" t="s">
        <v>16</v>
      </c>
      <c r="D63" s="25">
        <f>D61</f>
        <v>4</v>
      </c>
      <c r="E63" s="184"/>
      <c r="F63" s="20"/>
      <c r="G63" s="184"/>
      <c r="H63" s="97"/>
      <c r="I63" s="21"/>
      <c r="J63" s="20"/>
      <c r="K63" s="20"/>
      <c r="L63" s="20"/>
      <c r="M63" s="20"/>
      <c r="N63" s="20"/>
      <c r="O63" s="20"/>
    </row>
    <row r="64" spans="1:15" s="28" customFormat="1" ht="14.25">
      <c r="A64" s="75" t="s">
        <v>483</v>
      </c>
      <c r="B64" s="7" t="s">
        <v>1</v>
      </c>
      <c r="C64" s="25" t="s">
        <v>12</v>
      </c>
      <c r="D64" s="25">
        <f>ROUND(D61*0.13,1)</f>
        <v>0.5</v>
      </c>
      <c r="E64" s="196"/>
      <c r="F64" s="20"/>
      <c r="G64" s="196"/>
      <c r="H64" s="196"/>
      <c r="I64" s="21"/>
      <c r="J64" s="20"/>
      <c r="K64" s="20"/>
      <c r="L64" s="20"/>
      <c r="M64" s="20"/>
      <c r="N64" s="20"/>
      <c r="O64" s="38"/>
    </row>
    <row r="65" spans="1:15" s="28" customFormat="1" ht="14.25">
      <c r="A65" s="75" t="s">
        <v>484</v>
      </c>
      <c r="B65" s="7" t="s">
        <v>2</v>
      </c>
      <c r="C65" s="25" t="s">
        <v>12</v>
      </c>
      <c r="D65" s="25">
        <f>ROUND(D61*0.14,1)</f>
        <v>0.6</v>
      </c>
      <c r="E65" s="196"/>
      <c r="F65" s="20"/>
      <c r="G65" s="196"/>
      <c r="H65" s="196"/>
      <c r="I65" s="21"/>
      <c r="J65" s="20"/>
      <c r="K65" s="20"/>
      <c r="L65" s="20"/>
      <c r="M65" s="20"/>
      <c r="N65" s="20"/>
      <c r="O65" s="38"/>
    </row>
    <row r="66" spans="1:15" s="28" customFormat="1" ht="15.75" thickBot="1">
      <c r="A66" s="334" t="s">
        <v>149</v>
      </c>
      <c r="B66" s="335"/>
      <c r="C66" s="335"/>
      <c r="D66" s="335"/>
      <c r="E66" s="86"/>
      <c r="F66" s="70"/>
      <c r="G66" s="16"/>
      <c r="H66" s="16"/>
      <c r="I66" s="70"/>
      <c r="J66" s="21"/>
      <c r="K66" s="21"/>
      <c r="L66" s="21"/>
      <c r="M66" s="21"/>
      <c r="N66" s="21"/>
      <c r="O66" s="36"/>
    </row>
    <row r="67" spans="1:15" s="28" customFormat="1" ht="12.75">
      <c r="A67" s="77" t="s">
        <v>485</v>
      </c>
      <c r="B67" s="81" t="s">
        <v>203</v>
      </c>
      <c r="C67" s="70" t="s">
        <v>33</v>
      </c>
      <c r="D67" s="124">
        <f>D41</f>
        <v>168</v>
      </c>
      <c r="E67" s="185"/>
      <c r="F67" s="21"/>
      <c r="G67" s="185"/>
      <c r="H67" s="185"/>
      <c r="I67" s="21"/>
      <c r="J67" s="21"/>
      <c r="K67" s="202"/>
      <c r="L67" s="21"/>
      <c r="M67" s="21"/>
      <c r="N67" s="21"/>
      <c r="O67" s="36"/>
    </row>
    <row r="68" spans="1:15" s="28" customFormat="1" ht="26.25" thickBot="1">
      <c r="A68" s="77" t="s">
        <v>486</v>
      </c>
      <c r="B68" s="81" t="s">
        <v>4</v>
      </c>
      <c r="C68" s="70" t="s">
        <v>16</v>
      </c>
      <c r="D68" s="124">
        <v>1</v>
      </c>
      <c r="E68" s="87"/>
      <c r="F68" s="70"/>
      <c r="G68" s="16"/>
      <c r="H68" s="16"/>
      <c r="I68" s="21"/>
      <c r="J68" s="21"/>
      <c r="K68" s="202"/>
      <c r="L68" s="21"/>
      <c r="M68" s="21"/>
      <c r="N68" s="21"/>
      <c r="O68" s="36"/>
    </row>
    <row r="69" spans="1:15" ht="14.25" customHeight="1" thickBot="1">
      <c r="A69" s="332" t="s">
        <v>101</v>
      </c>
      <c r="B69" s="333"/>
      <c r="C69" s="333"/>
      <c r="D69" s="100"/>
      <c r="E69" s="87"/>
      <c r="F69" s="70"/>
      <c r="G69" s="16"/>
      <c r="H69" s="16"/>
      <c r="I69" s="16"/>
      <c r="J69" s="21"/>
      <c r="K69" s="132"/>
      <c r="L69" s="132"/>
      <c r="M69" s="132"/>
      <c r="N69" s="132"/>
      <c r="O69" s="133"/>
    </row>
    <row r="70" spans="1:15" s="6" customFormat="1" ht="18" customHeight="1">
      <c r="A70" s="77" t="s">
        <v>487</v>
      </c>
      <c r="B70" s="96" t="s">
        <v>81</v>
      </c>
      <c r="C70" s="75" t="s">
        <v>661</v>
      </c>
      <c r="D70" s="123">
        <f>ROUND(195.3*1.2/100,0)</f>
        <v>2</v>
      </c>
      <c r="E70" s="185"/>
      <c r="F70" s="21"/>
      <c r="G70" s="185"/>
      <c r="H70" s="185"/>
      <c r="I70" s="21"/>
      <c r="J70" s="21"/>
      <c r="K70" s="202"/>
      <c r="L70" s="21"/>
      <c r="M70" s="21"/>
      <c r="N70" s="21"/>
      <c r="O70" s="21"/>
    </row>
    <row r="71" spans="1:15" s="6" customFormat="1" ht="14.25">
      <c r="A71" s="77" t="s">
        <v>488</v>
      </c>
      <c r="B71" s="85" t="s">
        <v>88</v>
      </c>
      <c r="C71" s="25" t="s">
        <v>12</v>
      </c>
      <c r="D71" s="70">
        <f>ROUND((100*D70*0.28),1)</f>
        <v>56</v>
      </c>
      <c r="E71" s="21"/>
      <c r="F71" s="21"/>
      <c r="G71" s="21"/>
      <c r="H71" s="184"/>
      <c r="I71" s="21"/>
      <c r="J71" s="20"/>
      <c r="K71" s="20"/>
      <c r="L71" s="20"/>
      <c r="M71" s="20"/>
      <c r="N71" s="20"/>
      <c r="O71" s="20"/>
    </row>
    <row r="72" spans="1:15" s="6" customFormat="1" ht="25.5">
      <c r="A72" s="77" t="s">
        <v>489</v>
      </c>
      <c r="B72" s="85" t="s">
        <v>89</v>
      </c>
      <c r="C72" s="25" t="s">
        <v>12</v>
      </c>
      <c r="D72" s="25">
        <f>ROUND((100*D70*0.3),1)</f>
        <v>60</v>
      </c>
      <c r="E72" s="21"/>
      <c r="F72" s="21"/>
      <c r="G72" s="21"/>
      <c r="H72" s="184"/>
      <c r="I72" s="21"/>
      <c r="J72" s="20"/>
      <c r="K72" s="20"/>
      <c r="L72" s="20"/>
      <c r="M72" s="20"/>
      <c r="N72" s="20"/>
      <c r="O72" s="20"/>
    </row>
    <row r="73" spans="1:15" s="6" customFormat="1" ht="14.25">
      <c r="A73" s="77" t="s">
        <v>490</v>
      </c>
      <c r="B73" s="81" t="s">
        <v>82</v>
      </c>
      <c r="C73" s="75" t="s">
        <v>661</v>
      </c>
      <c r="D73" s="25">
        <f>D21</f>
        <v>0.192</v>
      </c>
      <c r="E73" s="185"/>
      <c r="F73" s="21"/>
      <c r="G73" s="185"/>
      <c r="H73" s="185"/>
      <c r="I73" s="185"/>
      <c r="J73" s="21"/>
      <c r="K73" s="202"/>
      <c r="L73" s="21"/>
      <c r="M73" s="21"/>
      <c r="N73" s="21"/>
      <c r="O73" s="21"/>
    </row>
    <row r="74" spans="1:15" s="6" customFormat="1" ht="14.25">
      <c r="A74" s="77" t="s">
        <v>732</v>
      </c>
      <c r="B74" s="85" t="s">
        <v>90</v>
      </c>
      <c r="C74" s="25" t="s">
        <v>12</v>
      </c>
      <c r="D74" s="98">
        <f>ROUND(100*D73*0.15,1)</f>
        <v>2.9</v>
      </c>
      <c r="E74" s="201"/>
      <c r="F74" s="186"/>
      <c r="G74" s="186"/>
      <c r="H74" s="187"/>
      <c r="I74" s="21"/>
      <c r="J74" s="20"/>
      <c r="K74" s="20"/>
      <c r="L74" s="20"/>
      <c r="M74" s="20"/>
      <c r="N74" s="20"/>
      <c r="O74" s="20"/>
    </row>
    <row r="75" spans="1:15" s="6" customFormat="1" ht="28.5" customHeight="1">
      <c r="A75" s="77" t="s">
        <v>733</v>
      </c>
      <c r="B75" s="85" t="s">
        <v>13</v>
      </c>
      <c r="C75" s="25" t="s">
        <v>40</v>
      </c>
      <c r="D75" s="25">
        <f>ROUND((100*D73*0.03),1)</f>
        <v>0.6</v>
      </c>
      <c r="E75" s="201"/>
      <c r="F75" s="186"/>
      <c r="G75" s="186"/>
      <c r="H75" s="187"/>
      <c r="I75" s="21"/>
      <c r="J75" s="20"/>
      <c r="K75" s="20"/>
      <c r="L75" s="20"/>
      <c r="M75" s="20"/>
      <c r="N75" s="20"/>
      <c r="O75" s="20"/>
    </row>
    <row r="76" spans="1:15" ht="15.75" thickBot="1">
      <c r="A76" s="181"/>
      <c r="B76" s="169"/>
      <c r="C76" s="189"/>
      <c r="D76" s="189"/>
      <c r="E76" s="170"/>
      <c r="F76" s="190"/>
      <c r="G76" s="190"/>
      <c r="H76" s="170"/>
      <c r="I76" s="190"/>
      <c r="J76" s="190"/>
      <c r="K76" s="190"/>
      <c r="L76" s="190"/>
      <c r="M76" s="190"/>
      <c r="N76" s="190"/>
      <c r="O76" s="190"/>
    </row>
    <row r="77" spans="1:15" ht="13.5" thickTop="1">
      <c r="A77" s="173"/>
      <c r="B77" s="96" t="s">
        <v>654</v>
      </c>
      <c r="C77" s="174"/>
      <c r="D77" s="175"/>
      <c r="E77" s="176"/>
      <c r="F77" s="176"/>
      <c r="G77" s="176"/>
      <c r="H77" s="176"/>
      <c r="I77" s="176"/>
      <c r="J77" s="177"/>
      <c r="K77" s="178"/>
      <c r="L77" s="178"/>
      <c r="M77" s="178"/>
      <c r="N77" s="178"/>
      <c r="O77" s="178"/>
    </row>
    <row r="78" spans="1:15" ht="25.5">
      <c r="A78" s="47"/>
      <c r="B78" s="171" t="s">
        <v>662</v>
      </c>
      <c r="C78" s="191"/>
      <c r="D78" s="17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</row>
    <row r="79" spans="1:15" ht="12.75">
      <c r="A79" s="46" t="s">
        <v>34</v>
      </c>
      <c r="B79" s="188" t="s">
        <v>654</v>
      </c>
      <c r="C79" s="191"/>
      <c r="D79" s="172"/>
      <c r="E79" s="182"/>
      <c r="F79" s="182"/>
      <c r="G79" s="182"/>
      <c r="H79" s="182"/>
      <c r="I79" s="182"/>
      <c r="J79" s="182"/>
      <c r="K79" s="195"/>
      <c r="L79" s="195"/>
      <c r="M79" s="195"/>
      <c r="N79" s="195"/>
      <c r="O79" s="195"/>
    </row>
    <row r="80" spans="1:4" s="64" customFormat="1" ht="12.75">
      <c r="A80" s="48" t="s">
        <v>35</v>
      </c>
      <c r="B80" s="12"/>
      <c r="C80" s="63"/>
      <c r="D80" s="65"/>
    </row>
    <row r="81" spans="1:4" s="64" customFormat="1" ht="12.75">
      <c r="A81" s="48" t="s">
        <v>18</v>
      </c>
      <c r="B81" s="66"/>
      <c r="C81" s="66"/>
      <c r="D81" s="65"/>
    </row>
    <row r="82" spans="1:4" s="64" customFormat="1" ht="12.75">
      <c r="A82" s="48" t="s">
        <v>19</v>
      </c>
      <c r="B82" s="66"/>
      <c r="C82" s="66"/>
      <c r="D82" s="65"/>
    </row>
    <row r="83" spans="1:4" s="64" customFormat="1" ht="12.75">
      <c r="A83" s="48" t="s">
        <v>36</v>
      </c>
      <c r="B83" s="66"/>
      <c r="C83" s="66"/>
      <c r="D83" s="65"/>
    </row>
    <row r="84" spans="1:4" s="64" customFormat="1" ht="12.75">
      <c r="A84" s="48" t="s">
        <v>37</v>
      </c>
      <c r="B84" s="66"/>
      <c r="C84" s="66"/>
      <c r="D84" s="65"/>
    </row>
    <row r="85" spans="1:4" s="64" customFormat="1" ht="12.75">
      <c r="A85" s="48" t="s">
        <v>38</v>
      </c>
      <c r="B85" s="66"/>
      <c r="C85" s="66"/>
      <c r="D85" s="65"/>
    </row>
    <row r="86" spans="1:4" s="64" customFormat="1" ht="12.75">
      <c r="A86" s="48" t="s">
        <v>39</v>
      </c>
      <c r="B86" s="66"/>
      <c r="C86" s="66"/>
      <c r="D86" s="65"/>
    </row>
    <row r="87" spans="1:4" ht="12.75">
      <c r="A87" s="11" t="s">
        <v>20</v>
      </c>
      <c r="B87" s="67"/>
      <c r="C87" s="67"/>
      <c r="D87" s="68"/>
    </row>
    <row r="88" spans="2:3" ht="12.75">
      <c r="B88" s="67"/>
      <c r="C88" s="67"/>
    </row>
    <row r="89" spans="1:3" ht="12.75">
      <c r="A89" s="31" t="s">
        <v>7</v>
      </c>
      <c r="B89" s="180"/>
      <c r="C89" s="67"/>
    </row>
    <row r="90" ht="12.75">
      <c r="A90" s="31"/>
    </row>
    <row r="91" spans="1:2" ht="12.75">
      <c r="A91" s="31" t="s">
        <v>6</v>
      </c>
      <c r="B91" s="69"/>
    </row>
    <row r="92" spans="1:2" ht="12.75">
      <c r="A92" s="31"/>
      <c r="B92" s="31"/>
    </row>
    <row r="93" ht="12.75">
      <c r="B93" s="30"/>
    </row>
    <row r="94" ht="12.75">
      <c r="B94" s="30"/>
    </row>
  </sheetData>
  <sheetProtection/>
  <mergeCells count="26">
    <mergeCell ref="K9:O9"/>
    <mergeCell ref="B7:D7"/>
    <mergeCell ref="B8:D8"/>
    <mergeCell ref="A3:D3"/>
    <mergeCell ref="J8:L8"/>
    <mergeCell ref="A9:A10"/>
    <mergeCell ref="B9:B10"/>
    <mergeCell ref="C9:C10"/>
    <mergeCell ref="D9:D10"/>
    <mergeCell ref="E9:J9"/>
    <mergeCell ref="A2:B2"/>
    <mergeCell ref="B5:D5"/>
    <mergeCell ref="B6:D6"/>
    <mergeCell ref="G8:I8"/>
    <mergeCell ref="A13:D13"/>
    <mergeCell ref="A22:D22"/>
    <mergeCell ref="A25:D25"/>
    <mergeCell ref="A14:D14"/>
    <mergeCell ref="A20:D20"/>
    <mergeCell ref="A32:D32"/>
    <mergeCell ref="A57:D57"/>
    <mergeCell ref="A34:D34"/>
    <mergeCell ref="A69:C69"/>
    <mergeCell ref="A66:D66"/>
    <mergeCell ref="A40:D40"/>
    <mergeCell ref="A39:D39"/>
  </mergeCells>
  <printOptions horizontalCentered="1"/>
  <pageMargins left="0.3937007874015748" right="0.3937007874015748" top="0.7874015748031497" bottom="0.5905511811023623" header="0.31496062992125984" footer="0.3937007874015748"/>
  <pageSetup fitToHeight="0" fitToWidth="1" horizontalDpi="600" verticalDpi="600" orientation="landscape" paperSize="9" scale="79" r:id="rId1"/>
  <headerFooter alignWithMargins="0">
    <oddFooter>&amp;CLapaspuse &amp;P no &amp;N&amp;R&amp;A</oddFooter>
  </headerFooter>
  <rowBreaks count="1" manualBreakCount="1">
    <brk id="68" max="255" man="1"/>
  </rowBreaks>
  <ignoredErrors>
    <ignoredError sqref="D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Cers projekti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evija</dc:creator>
  <cp:keywords/>
  <dc:description/>
  <cp:lastModifiedBy>ilga.vieglina</cp:lastModifiedBy>
  <cp:lastPrinted>2014-01-15T13:34:12Z</cp:lastPrinted>
  <dcterms:created xsi:type="dcterms:W3CDTF">2011-03-23T14:07:45Z</dcterms:created>
  <dcterms:modified xsi:type="dcterms:W3CDTF">2014-03-07T07:07:45Z</dcterms:modified>
  <cp:category/>
  <cp:version/>
  <cp:contentType/>
  <cp:contentStatus/>
</cp:coreProperties>
</file>